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firstSheet="3" activeTab="7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з початку року" sheetId="9" r:id="rId9"/>
    <sheet name="уточнення планових показників" sheetId="10" r:id="rId10"/>
  </sheets>
  <externalReferences>
    <externalReference r:id="rId13"/>
    <externalReference r:id="rId14"/>
    <externalReference r:id="rId15"/>
  </externalReferences>
  <definedNames>
    <definedName name="_xlnm.Print_Area" localSheetId="8">'з початку року'!$A$1:$P$47</definedName>
  </definedNames>
  <calcPr fullCalcOnLoad="1"/>
</workbook>
</file>

<file path=xl/sharedStrings.xml><?xml version="1.0" encoding="utf-8"?>
<sst xmlns="http://schemas.openxmlformats.org/spreadsheetml/2006/main" count="328" uniqueCount="114">
  <si>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</si>
  <si>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</si>
  <si>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</si>
  <si>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</si>
  <si>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</si>
  <si>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</si>
  <si>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</si>
  <si>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</si>
  <si>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</si>
  <si>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</si>
  <si>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</si>
  <si>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</si>
  <si>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</si>
  <si>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</si>
  <si>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</si>
  <si>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</si>
  <si>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</si>
  <si>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</si>
  <si>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</si>
  <si>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</si>
  <si>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</si>
  <si>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</si>
  <si>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</si>
  <si>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</si>
  <si>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</si>
  <si>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</si>
  <si>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</si>
  <si>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</si>
  <si>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</si>
  <si>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</si>
  <si>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</si>
  <si>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</si>
  <si>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</si>
  <si>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</si>
  <si>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</si>
  <si>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</si>
  <si>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</si>
  <si>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</si>
  <si>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</si>
  <si>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</si>
  <si>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</si>
  <si>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</si>
  <si>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</si>
  <si>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</si>
  <si>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</si>
  <si>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</si>
  <si>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</si>
  <si>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</si>
  <si>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</si>
  <si>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</si>
  <si>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</si>
  <si>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</si>
  <si>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</si>
  <si>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</si>
  <si>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</si>
  <si>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</si>
  <si>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t>Розміщення тимч. вільних коштів</t>
  </si>
  <si>
    <t>Плата за розміщення тимчасово вільних коштів</t>
  </si>
  <si>
    <t>УТОЧНЕНИЙ ПЛАН НА  2017 рік</t>
  </si>
  <si>
    <t>Реклама, пайова участь(благоустрій), повернення</t>
  </si>
  <si>
    <t>факт  на 01.02.17</t>
  </si>
  <si>
    <t xml:space="preserve">  +  -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</si>
  <si>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</si>
  <si>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</si>
  <si>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</si>
  <si>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</si>
  <si>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>Динаміка надходжень податків та неподаткових платежів за січень 2019 року</t>
  </si>
  <si>
    <t xml:space="preserve">Динаміка надходжень до бюджету розвитку за січень 2019 р. </t>
  </si>
  <si>
    <t>Аналіз планових показників надходжень до загального фонду міського бюджету  2019 рік</t>
  </si>
  <si>
    <t>00.00.2019</t>
  </si>
  <si>
    <r>
      <t xml:space="preserve">станом на 30.01.2019р.           </t>
    </r>
    <r>
      <rPr>
        <sz val="10"/>
        <rFont val="Arial Cyr"/>
        <family val="0"/>
      </rPr>
      <t xml:space="preserve">  ( тис.грн.)</t>
    </r>
  </si>
  <si>
    <t>станом на 01.02.2019</t>
  </si>
  <si>
    <t>Динаміка надходжень податків та неподаткових платежів за лютий 2019 року</t>
  </si>
  <si>
    <t>Фактичні надходження (лютий)</t>
  </si>
  <si>
    <t xml:space="preserve">Динаміка надходжень до бюджету розвитку за лютий 2019 р. </t>
  </si>
  <si>
    <t>Розпис доходів ЗФ на 2019 рк</t>
  </si>
  <si>
    <t>Уточнений  розпис доходів</t>
  </si>
  <si>
    <t>станом на 01.03.2019</t>
  </si>
  <si>
    <r>
      <t xml:space="preserve">станом на 01.03.2019р.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</si>
  <si>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2019 року</t>
  </si>
  <si>
    <t>Фактичні надходження (березень)</t>
  </si>
  <si>
    <t xml:space="preserve">Динаміка надходжень до бюджету розвитку за березень 2019 р. </t>
  </si>
  <si>
    <r>
      <t>Реклама, пайова участь</t>
    </r>
    <r>
      <rPr>
        <sz val="8"/>
        <rFont val="Times New Roman"/>
        <family val="1"/>
      </rPr>
      <t xml:space="preserve"> </t>
    </r>
    <r>
      <rPr>
        <i/>
        <sz val="7"/>
        <rFont val="Times New Roman"/>
        <family val="1"/>
      </rPr>
      <t>(благоустрій)</t>
    </r>
    <r>
      <rPr>
        <i/>
        <sz val="8"/>
        <rFont val="Times New Roman"/>
        <family val="1"/>
      </rPr>
      <t xml:space="preserve">, </t>
    </r>
    <r>
      <rPr>
        <sz val="9"/>
        <rFont val="Times New Roman"/>
        <family val="1"/>
      </rPr>
      <t>повернення</t>
    </r>
  </si>
  <si>
    <t>станом на 01.04.2019</t>
  </si>
  <si>
    <r>
      <t xml:space="preserve">станом на 01.04.2019р.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</si>
  <si>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2019 року</t>
  </si>
  <si>
    <t xml:space="preserve">Динаміка надходжень до бюджету розвитку за квітень 2019 р. </t>
  </si>
  <si>
    <t>Фактичні надходження (квітень)</t>
  </si>
  <si>
    <t>станом на 01.05.2019</t>
  </si>
  <si>
    <r>
      <t xml:space="preserve">станом на 01.05.2019р.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</si>
  <si>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2019 року</t>
  </si>
  <si>
    <t xml:space="preserve">Динаміка надходжень до бюджету розвитку за травень 2019 р. </t>
  </si>
  <si>
    <t>Фактичні надходження (травень)</t>
  </si>
  <si>
    <t>станом на 01.06.2019</t>
  </si>
  <si>
    <r>
      <t xml:space="preserve">станом на 01.06.2019р.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</si>
  <si>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2019 року</t>
  </si>
  <si>
    <t>Фактичні надходження (червень)</t>
  </si>
  <si>
    <t xml:space="preserve">Динаміка надходжень до бюджету розвитку за червень 2019 р. </t>
  </si>
  <si>
    <t>станом на 01.07.2019</t>
  </si>
  <si>
    <r>
      <t xml:space="preserve">станом на 01.07.2019р.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</si>
  <si>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липень 2019 року</t>
  </si>
  <si>
    <t xml:space="preserve">Динаміка надходжень до бюджету розвитку за липень 2019 р. </t>
  </si>
  <si>
    <t>Фактичні надходження (липень)</t>
  </si>
  <si>
    <t>станом на 01.08.2019</t>
  </si>
  <si>
    <r>
      <t xml:space="preserve">станом на 01.08.2019р.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</si>
  <si>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серпень 2019 року</t>
  </si>
  <si>
    <t>станом на 05.08.2019</t>
  </si>
  <si>
    <t>Фактичні надходження (серпень)</t>
  </si>
  <si>
    <t xml:space="preserve">Динаміка надходжень до бюджету розвитку за серпень 2019 р. </t>
  </si>
  <si>
    <r>
      <t xml:space="preserve">станом на 05.08.2019р.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</si>
  <si>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05.08.2019р.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</si>
  <si>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05.08.2019</t>
    </r>
    <r>
      <rPr>
        <sz val="10"/>
        <rFont val="Times New Roman"/>
        <family val="1"/>
      </rPr>
      <t xml:space="preserve"> (тис.грн.)</t>
    </r>
  </si>
  <si>
    <t>план на січень-серпень 2019р.</t>
  </si>
  <si>
    <t>Зміни до   розпису доходів станом на 05.08.2019р. :</t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</si>
</sst>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  <numFmt numFmtId="188" formatCode="[$-422]d\ mmmm\ yyyy&quot; р.&quot;"/>
    <numFmt numFmtId="189" formatCode="dd\.mm\.yy;@"/>
    <numFmt numFmtId="190" formatCode="#\ ##0.0"/>
  </numFmts>
  <fonts count="91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sz val="9.2"/>
      <color indexed="8"/>
      <name val="Arial Cyr"/>
      <family val="0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8.2"/>
      <color indexed="8"/>
      <name val="Arial Cyr"/>
      <family val="0"/>
    </font>
    <font>
      <i/>
      <sz val="7"/>
      <name val="Times New Roman"/>
      <family val="1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.05"/>
      <color indexed="8"/>
      <name val="Times New Roman"/>
      <family val="1"/>
    </font>
    <font>
      <sz val="1.35"/>
      <color indexed="8"/>
      <name val="Times New Roman"/>
      <family val="1"/>
    </font>
    <font>
      <sz val="2.35"/>
      <color indexed="8"/>
      <name val="Times New Roman"/>
      <family val="1"/>
    </font>
    <font>
      <sz val="3.35"/>
      <color indexed="8"/>
      <name val="Times New Roman"/>
      <family val="1"/>
    </font>
    <font>
      <sz val="5.75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0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5" fillId="25" borderId="1" applyNumberFormat="0" applyAlignment="0" applyProtection="0"/>
    <xf numFmtId="0" fontId="76" fillId="26" borderId="2" applyNumberFormat="0" applyAlignment="0" applyProtection="0"/>
    <xf numFmtId="0" fontId="77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6" applyNumberFormat="0" applyFill="0" applyAlignment="0" applyProtection="0"/>
    <xf numFmtId="0" fontId="82" fillId="27" borderId="7" applyNumberFormat="0" applyAlignment="0" applyProtection="0"/>
    <xf numFmtId="0" fontId="83" fillId="0" borderId="0" applyNumberFormat="0" applyFill="0" applyBorder="0" applyAlignment="0" applyProtection="0"/>
    <xf numFmtId="0" fontId="84" fillId="28" borderId="0" applyNumberFormat="0" applyBorder="0" applyAlignment="0" applyProtection="0"/>
    <xf numFmtId="0" fontId="73" fillId="0" borderId="0">
      <alignment/>
      <protection/>
    </xf>
    <xf numFmtId="0" fontId="6" fillId="0" borderId="0" applyNumberFormat="0" applyFill="0" applyBorder="0" applyAlignment="0" applyProtection="0"/>
    <xf numFmtId="0" fontId="85" fillId="29" borderId="0" applyNumberFormat="0" applyBorder="0" applyAlignment="0" applyProtection="0"/>
    <xf numFmtId="0" fontId="8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9" fillId="31" borderId="0" applyNumberFormat="0" applyBorder="0" applyAlignment="0" applyProtection="0"/>
  </cellStyleXfs>
  <cellXfs count="170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4" fontId="18" fillId="0" borderId="14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5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17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8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0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23" xfId="0" applyNumberFormat="1" applyFont="1" applyBorder="1" applyAlignment="1">
      <alignment/>
    </xf>
    <xf numFmtId="185" fontId="2" fillId="0" borderId="22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3" xfId="0" applyNumberFormat="1" applyFont="1" applyFill="1" applyBorder="1" applyAlignment="1">
      <alignment/>
    </xf>
    <xf numFmtId="185" fontId="2" fillId="0" borderId="18" xfId="0" applyNumberFormat="1" applyFont="1" applyBorder="1" applyAlignment="1">
      <alignment/>
    </xf>
    <xf numFmtId="185" fontId="11" fillId="0" borderId="24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90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17" xfId="0" applyNumberFormat="1" applyFont="1" applyBorder="1" applyAlignment="1">
      <alignment/>
    </xf>
    <xf numFmtId="185" fontId="2" fillId="0" borderId="17" xfId="0" applyNumberFormat="1" applyFont="1" applyFill="1" applyBorder="1" applyAlignment="1">
      <alignment/>
    </xf>
    <xf numFmtId="180" fontId="2" fillId="0" borderId="25" xfId="0" applyNumberFormat="1" applyFont="1" applyFill="1" applyBorder="1" applyAlignment="1">
      <alignment/>
    </xf>
    <xf numFmtId="185" fontId="2" fillId="0" borderId="25" xfId="0" applyNumberFormat="1" applyFont="1" applyFill="1" applyBorder="1" applyAlignment="1">
      <alignment/>
    </xf>
    <xf numFmtId="16" fontId="11" fillId="0" borderId="26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4" fontId="11" fillId="0" borderId="28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1" fillId="0" borderId="1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185" fontId="2" fillId="0" borderId="33" xfId="0" applyNumberFormat="1" applyFont="1" applyBorder="1" applyAlignment="1">
      <alignment/>
    </xf>
    <xf numFmtId="185" fontId="2" fillId="0" borderId="34" xfId="0" applyNumberFormat="1" applyFont="1" applyBorder="1" applyAlignment="1">
      <alignment/>
    </xf>
    <xf numFmtId="185" fontId="2" fillId="0" borderId="35" xfId="0" applyNumberFormat="1" applyFont="1" applyBorder="1" applyAlignment="1">
      <alignment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15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32" fillId="0" borderId="11" xfId="0" applyNumberFormat="1" applyFont="1" applyBorder="1" applyAlignment="1">
      <alignment horizontal="center" vertical="center" wrapText="1"/>
    </xf>
    <xf numFmtId="185" fontId="33" fillId="0" borderId="11" xfId="0" applyNumberFormat="1" applyFont="1" applyBorder="1" applyAlignment="1">
      <alignment/>
    </xf>
    <xf numFmtId="185" fontId="32" fillId="0" borderId="27" xfId="0" applyNumberFormat="1" applyFont="1" applyBorder="1" applyAlignment="1">
      <alignment/>
    </xf>
    <xf numFmtId="189" fontId="2" fillId="0" borderId="12" xfId="0" applyNumberFormat="1" applyFont="1" applyFill="1" applyBorder="1" applyAlignment="1">
      <alignment horizontal="center"/>
    </xf>
    <xf numFmtId="185" fontId="2" fillId="0" borderId="42" xfId="0" applyNumberFormat="1" applyFont="1" applyBorder="1" applyAlignment="1">
      <alignment/>
    </xf>
    <xf numFmtId="185" fontId="11" fillId="0" borderId="43" xfId="0" applyNumberFormat="1" applyFont="1" applyBorder="1" applyAlignment="1">
      <alignment horizontal="center"/>
    </xf>
    <xf numFmtId="185" fontId="2" fillId="0" borderId="17" xfId="0" applyNumberFormat="1" applyFont="1" applyBorder="1" applyAlignment="1">
      <alignment horizontal="center"/>
    </xf>
    <xf numFmtId="185" fontId="2" fillId="0" borderId="18" xfId="0" applyNumberFormat="1" applyFont="1" applyBorder="1" applyAlignment="1">
      <alignment horizont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25" fillId="0" borderId="11" xfId="0" applyFont="1" applyBorder="1" applyAlignment="1">
      <alignment horizontal="right"/>
    </xf>
    <xf numFmtId="0" fontId="15" fillId="0" borderId="0" xfId="0" applyFont="1" applyAlignment="1">
      <alignment horizontal="center"/>
    </xf>
    <xf numFmtId="0" fontId="16" fillId="0" borderId="44" xfId="0" applyFont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45" xfId="0" applyNumberFormat="1" applyFont="1" applyBorder="1" applyAlignment="1">
      <alignment horizontal="center" vertical="center"/>
    </xf>
    <xf numFmtId="185" fontId="16" fillId="0" borderId="41" xfId="0" applyNumberFormat="1" applyFont="1" applyBorder="1" applyAlignment="1">
      <alignment horizontal="center" vertical="center"/>
    </xf>
    <xf numFmtId="185" fontId="16" fillId="0" borderId="46" xfId="0" applyNumberFormat="1" applyFont="1" applyBorder="1" applyAlignment="1">
      <alignment horizontal="center" vertical="center"/>
    </xf>
    <xf numFmtId="185" fontId="16" fillId="0" borderId="20" xfId="0" applyNumberFormat="1" applyFont="1" applyBorder="1" applyAlignment="1">
      <alignment horizontal="center" vertical="center"/>
    </xf>
    <xf numFmtId="185" fontId="16" fillId="0" borderId="44" xfId="0" applyNumberFormat="1" applyFont="1" applyBorder="1" applyAlignment="1">
      <alignment horizontal="center" vertical="center"/>
    </xf>
    <xf numFmtId="185" fontId="16" fillId="0" borderId="47" xfId="0" applyNumberFormat="1" applyFont="1" applyBorder="1" applyAlignment="1">
      <alignment horizontal="center" vertical="center"/>
    </xf>
    <xf numFmtId="185" fontId="2" fillId="0" borderId="48" xfId="0" applyNumberFormat="1" applyFont="1" applyBorder="1" applyAlignment="1">
      <alignment horizontal="center"/>
    </xf>
    <xf numFmtId="185" fontId="2" fillId="0" borderId="49" xfId="0" applyNumberFormat="1" applyFont="1" applyBorder="1" applyAlignment="1">
      <alignment horizontal="center"/>
    </xf>
    <xf numFmtId="185" fontId="11" fillId="0" borderId="50" xfId="0" applyNumberFormat="1" applyFont="1" applyBorder="1" applyAlignment="1">
      <alignment horizontal="center"/>
    </xf>
    <xf numFmtId="185" fontId="11" fillId="0" borderId="51" xfId="0" applyNumberFormat="1" applyFont="1" applyBorder="1" applyAlignment="1">
      <alignment horizontal="center"/>
    </xf>
    <xf numFmtId="0" fontId="15" fillId="0" borderId="44" xfId="0" applyFont="1" applyBorder="1" applyAlignment="1">
      <alignment horizontal="center"/>
    </xf>
    <xf numFmtId="4" fontId="16" fillId="0" borderId="11" xfId="0" applyNumberFormat="1" applyFont="1" applyBorder="1" applyAlignment="1">
      <alignment horizontal="center" vertical="center"/>
    </xf>
    <xf numFmtId="185" fontId="2" fillId="0" borderId="17" xfId="0" applyNumberFormat="1" applyFont="1" applyFill="1" applyBorder="1" applyAlignment="1">
      <alignment horizontal="center"/>
    </xf>
    <xf numFmtId="185" fontId="2" fillId="0" borderId="18" xfId="0" applyNumberFormat="1" applyFont="1" applyFill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7" fillId="0" borderId="52" xfId="0" applyFont="1" applyBorder="1" applyAlignment="1">
      <alignment horizontal="center" wrapText="1"/>
    </xf>
    <xf numFmtId="0" fontId="7" fillId="0" borderId="53" xfId="0" applyFont="1" applyBorder="1" applyAlignment="1">
      <alignment horizontal="center" wrapText="1"/>
    </xf>
    <xf numFmtId="0" fontId="7" fillId="0" borderId="54" xfId="0" applyFont="1" applyBorder="1" applyAlignment="1">
      <alignment horizontal="center" wrapText="1"/>
    </xf>
    <xf numFmtId="0" fontId="4" fillId="0" borderId="55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7" fillId="0" borderId="5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8" xfId="0" applyFont="1" applyBorder="1" applyAlignment="1">
      <alignment horizont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185" fontId="2" fillId="0" borderId="35" xfId="0" applyNumberFormat="1" applyFont="1" applyBorder="1" applyAlignment="1">
      <alignment horizontal="center"/>
    </xf>
    <xf numFmtId="185" fontId="2" fillId="0" borderId="60" xfId="0" applyNumberFormat="1" applyFont="1" applyBorder="1" applyAlignment="1">
      <alignment horizontal="center"/>
    </xf>
    <xf numFmtId="0" fontId="12" fillId="0" borderId="45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4" fontId="14" fillId="0" borderId="18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3" xfId="0" applyFont="1" applyBorder="1" applyAlignment="1">
      <alignment horizontal="center" vertical="center" wrapText="1"/>
    </xf>
    <xf numFmtId="0" fontId="11" fillId="0" borderId="62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січень!$A$4:$A$24</c:f>
              <c:strCache/>
            </c:strRef>
          </c:cat>
          <c:val>
            <c:numRef>
              <c:f>січень!$N$4:$N$24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січень!$A$4:$A$24</c:f>
              <c:strCache/>
            </c:strRef>
          </c:cat>
          <c:val>
            <c:numRef>
              <c:f>січень!$Q$4:$Q$24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січень!$A$4:$A$24</c:f>
              <c:strCache/>
            </c:strRef>
          </c:cat>
          <c:val>
            <c:numRef>
              <c:f>січень!$O$4:$O$24</c:f>
              <c:numCache/>
            </c:numRef>
          </c:val>
          <c:smooth val="1"/>
        </c:ser>
        <c:marker val="1"/>
        <c:axId val="64651403"/>
        <c:axId val="44991716"/>
      </c:lineChart>
      <c:catAx>
        <c:axId val="6465140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991716"/>
        <c:crosses val="autoZero"/>
        <c:auto val="0"/>
        <c:lblOffset val="100"/>
        <c:tickLblSkip val="1"/>
        <c:noMultiLvlLbl val="0"/>
      </c:catAx>
      <c:valAx>
        <c:axId val="44991716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4651403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35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січень-серпень 2019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33270869"/>
        <c:axId val="31002366"/>
      </c:bar3DChart>
      <c:catAx>
        <c:axId val="332708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1002366"/>
        <c:crosses val="autoZero"/>
        <c:auto val="1"/>
        <c:lblOffset val="100"/>
        <c:tickLblSkip val="1"/>
        <c:noMultiLvlLbl val="0"/>
      </c:catAx>
      <c:valAx>
        <c:axId val="31002366"/>
        <c:scaling>
          <c:orientation val="minMax"/>
          <c:max val="7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270869"/>
        <c:crossesAt val="1"/>
        <c:crossBetween val="between"/>
        <c:dispUnits/>
        <c:majorUnit val="10000"/>
        <c:min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054"/>
          <c:w val="0.974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marker val="1"/>
        <c:axId val="2272261"/>
        <c:axId val="20450350"/>
      </c:lineChart>
      <c:catAx>
        <c:axId val="227226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450350"/>
        <c:crosses val="autoZero"/>
        <c:auto val="0"/>
        <c:lblOffset val="100"/>
        <c:tickLblSkip val="1"/>
        <c:noMultiLvlLbl val="0"/>
      </c:catAx>
      <c:valAx>
        <c:axId val="20450350"/>
        <c:scaling>
          <c:orientation val="minMax"/>
          <c:max val="1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272261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35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2345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054"/>
          <c:w val="0.974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/>
            </c:strRef>
          </c:cat>
          <c:val>
            <c:numRef>
              <c:f>березень!$N$4:$N$23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/>
            </c:strRef>
          </c:cat>
          <c:val>
            <c:numRef>
              <c:f>березень!$Q$4:$Q$23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/>
            </c:strRef>
          </c:cat>
          <c:val>
            <c:numRef>
              <c:f>березень!$O$4:$O$23</c:f>
              <c:numCache/>
            </c:numRef>
          </c:val>
          <c:smooth val="1"/>
        </c:ser>
        <c:marker val="1"/>
        <c:axId val="49835423"/>
        <c:axId val="45865624"/>
      </c:lineChart>
      <c:catAx>
        <c:axId val="4983542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865624"/>
        <c:crosses val="autoZero"/>
        <c:auto val="0"/>
        <c:lblOffset val="100"/>
        <c:tickLblSkip val="1"/>
        <c:noMultiLvlLbl val="0"/>
      </c:catAx>
      <c:valAx>
        <c:axId val="45865624"/>
        <c:scaling>
          <c:orientation val="minMax"/>
          <c:max val="1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9835423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5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25"/>
          <c:y val="0.054"/>
          <c:w val="0.973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квітень!$A$4:$A$23</c:f>
              <c:strCache/>
            </c:strRef>
          </c:cat>
          <c:val>
            <c:numRef>
              <c:f>квітень!$N$4:$N$23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квітень!$A$4:$A$23</c:f>
              <c:strCache/>
            </c:strRef>
          </c:cat>
          <c:val>
            <c:numRef>
              <c:f>квітень!$Q$4:$Q$23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квітень!$A$4:$A$23</c:f>
              <c:strCache/>
            </c:strRef>
          </c:cat>
          <c:val>
            <c:numRef>
              <c:f>квітень!$O$4:$O$23</c:f>
              <c:numCache/>
            </c:numRef>
          </c:val>
          <c:smooth val="1"/>
        </c:ser>
        <c:marker val="1"/>
        <c:axId val="10137433"/>
        <c:axId val="24128034"/>
      </c:lineChart>
      <c:catAx>
        <c:axId val="1013743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128034"/>
        <c:crosses val="autoZero"/>
        <c:auto val="0"/>
        <c:lblOffset val="100"/>
        <c:tickLblSkip val="1"/>
        <c:noMultiLvlLbl val="0"/>
      </c:catAx>
      <c:valAx>
        <c:axId val="24128034"/>
        <c:scaling>
          <c:orientation val="minMax"/>
          <c:max val="3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0137433"/>
        <c:crossesAt val="1"/>
        <c:crossBetween val="midCat"/>
        <c:dispUnits/>
        <c:majorUnit val="5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25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0625"/>
          <c:w val="0.96975"/>
          <c:h val="0.84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травень!$A$4:$A$25</c:f>
              <c:strCache/>
            </c:strRef>
          </c:cat>
          <c:val>
            <c:numRef>
              <c:f>травень!$N$4:$N$25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травень!$A$4:$A$25</c:f>
              <c:strCache/>
            </c:strRef>
          </c:cat>
          <c:val>
            <c:numRef>
              <c:f>травень!$Q$4:$Q$25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травень!$A$4:$A$25</c:f>
              <c:strCache/>
            </c:strRef>
          </c:cat>
          <c:val>
            <c:numRef>
              <c:f>травень!$O$4:$O$25</c:f>
              <c:numCache/>
            </c:numRef>
          </c:val>
          <c:smooth val="1"/>
        </c:ser>
        <c:marker val="1"/>
        <c:axId val="15825715"/>
        <c:axId val="8213708"/>
      </c:lineChart>
      <c:dateAx>
        <c:axId val="1582571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213708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8213708"/>
        <c:scaling>
          <c:orientation val="minMax"/>
          <c:max val="2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5825715"/>
        <c:crossesAt val="1"/>
        <c:crossBetween val="midCat"/>
        <c:dispUnits/>
        <c:majorUnit val="2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5"/>
          <c:y val="0.93025"/>
          <c:w val="0.66175"/>
          <c:h val="0.0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0625"/>
          <c:w val="0.96975"/>
          <c:h val="0.84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червень!$A$4:$A$21</c:f>
              <c:strCache/>
            </c:strRef>
          </c:cat>
          <c:val>
            <c:numRef>
              <c:f>червень!$N$4:$N$21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червень!$A$4:$A$21</c:f>
              <c:strCache/>
            </c:strRef>
          </c:cat>
          <c:val>
            <c:numRef>
              <c:f>червень!$Q$4:$Q$21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червень!$A$4:$A$21</c:f>
              <c:strCache/>
            </c:strRef>
          </c:cat>
          <c:val>
            <c:numRef>
              <c:f>червень!$O$4:$O$21</c:f>
              <c:numCache/>
            </c:numRef>
          </c:val>
          <c:smooth val="1"/>
        </c:ser>
        <c:marker val="1"/>
        <c:axId val="6814509"/>
        <c:axId val="61330582"/>
      </c:lineChart>
      <c:dateAx>
        <c:axId val="681450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330582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61330582"/>
        <c:scaling>
          <c:orientation val="minMax"/>
          <c:max val="2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814509"/>
        <c:crossesAt val="1"/>
        <c:crossBetween val="midCat"/>
        <c:dispUnits/>
        <c:majorUnit val="2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5"/>
          <c:y val="0.93025"/>
          <c:w val="0.66175"/>
          <c:h val="0.0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0625"/>
          <c:w val="0.96975"/>
          <c:h val="0.84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/>
            </c:strRef>
          </c:cat>
          <c:val>
            <c:numRef>
              <c:f>липень!$N$4:$N$26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/>
            </c:strRef>
          </c:cat>
          <c:val>
            <c:numRef>
              <c:f>липень!$Q$4:$Q$26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/>
            </c:strRef>
          </c:cat>
          <c:val>
            <c:numRef>
              <c:f>липень!$O$4:$O$26</c:f>
              <c:numCache/>
            </c:numRef>
          </c:val>
          <c:smooth val="1"/>
        </c:ser>
        <c:marker val="1"/>
        <c:axId val="15104327"/>
        <c:axId val="1721216"/>
      </c:lineChart>
      <c:dateAx>
        <c:axId val="1510432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21216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1721216"/>
        <c:scaling>
          <c:orientation val="minMax"/>
          <c:max val="1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5104327"/>
        <c:crossesAt val="1"/>
        <c:crossBetween val="midCat"/>
        <c:dispUnits/>
        <c:majorUnit val="2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5"/>
          <c:y val="0.93025"/>
          <c:w val="0.66175"/>
          <c:h val="0.0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0625"/>
          <c:w val="0.96975"/>
          <c:h val="0.84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серпень!$A$4:$A$24</c:f>
              <c:strCache/>
            </c:strRef>
          </c:cat>
          <c:val>
            <c:numRef>
              <c:f>серпень!$N$4:$N$24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серпень!$A$4:$A$24</c:f>
              <c:strCache/>
            </c:strRef>
          </c:cat>
          <c:val>
            <c:numRef>
              <c:f>серпень!$Q$4:$Q$24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серпень!$A$4:$A$24</c:f>
              <c:strCache/>
            </c:strRef>
          </c:cat>
          <c:val>
            <c:numRef>
              <c:f>серпень!$O$4:$O$24</c:f>
              <c:numCache/>
            </c:numRef>
          </c:val>
          <c:smooth val="1"/>
        </c:ser>
        <c:marker val="1"/>
        <c:axId val="15490945"/>
        <c:axId val="5200778"/>
      </c:lineChart>
      <c:dateAx>
        <c:axId val="1549094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00778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5200778"/>
        <c:scaling>
          <c:orientation val="minMax"/>
          <c:max val="1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5490945"/>
        <c:crossesAt val="1"/>
        <c:crossBetween val="midCat"/>
        <c:dispUnits/>
        <c:majorUnit val="2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25"/>
          <c:y val="0.93025"/>
          <c:w val="0.66175"/>
          <c:h val="0.0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05.08.2019</a:t>
            </a:r>
          </a:p>
        </c:rich>
      </c:tx>
      <c:layout>
        <c:manualLayout>
          <c:xMode val="factor"/>
          <c:yMode val="factor"/>
          <c:x val="0.06475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925"/>
          <c:y val="0.12625"/>
          <c:w val="0.838"/>
          <c:h val="0.81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січень-серпень 2019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46807003"/>
        <c:axId val="18609844"/>
      </c:bar3DChart>
      <c:catAx>
        <c:axId val="468070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8609844"/>
        <c:crosses val="autoZero"/>
        <c:auto val="1"/>
        <c:lblOffset val="100"/>
        <c:tickLblSkip val="1"/>
        <c:noMultiLvlLbl val="0"/>
      </c:catAx>
      <c:valAx>
        <c:axId val="18609844"/>
        <c:scaling>
          <c:orientation val="minMax"/>
          <c:max val="8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975"/>
              <c:y val="0.08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807003"/>
        <c:crossesAt val="1"/>
        <c:crossBetween val="between"/>
        <c:dispUnits/>
        <c:majorUnit val="50000"/>
        <c:min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85"/>
          <c:y val="0.40625"/>
          <c:w val="0.07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0006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0006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26</xdr:row>
      <xdr:rowOff>114300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28575" y="5257800"/>
        <a:ext cx="1163955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22</xdr:row>
      <xdr:rowOff>114300</xdr:rowOff>
    </xdr:from>
    <xdr:to>
      <xdr:col>16</xdr:col>
      <xdr:colOff>85725</xdr:colOff>
      <xdr:row>46</xdr:row>
      <xdr:rowOff>76200</xdr:rowOff>
    </xdr:to>
    <xdr:graphicFrame>
      <xdr:nvGraphicFramePr>
        <xdr:cNvPr id="1" name="Chart 1"/>
        <xdr:cNvGraphicFramePr/>
      </xdr:nvGraphicFramePr>
      <xdr:xfrm>
        <a:off x="28575" y="4610100"/>
        <a:ext cx="1163955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27</xdr:row>
      <xdr:rowOff>95250</xdr:rowOff>
    </xdr:from>
    <xdr:to>
      <xdr:col>16</xdr:col>
      <xdr:colOff>133350</xdr:colOff>
      <xdr:row>51</xdr:row>
      <xdr:rowOff>47625</xdr:rowOff>
    </xdr:to>
    <xdr:graphicFrame>
      <xdr:nvGraphicFramePr>
        <xdr:cNvPr id="1" name="Chart 1"/>
        <xdr:cNvGraphicFramePr/>
      </xdr:nvGraphicFramePr>
      <xdr:xfrm>
        <a:off x="66675" y="5400675"/>
        <a:ext cx="11649075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95250</xdr:rowOff>
    </xdr:from>
    <xdr:to>
      <xdr:col>16</xdr:col>
      <xdr:colOff>133350</xdr:colOff>
      <xdr:row>49</xdr:row>
      <xdr:rowOff>47625</xdr:rowOff>
    </xdr:to>
    <xdr:graphicFrame>
      <xdr:nvGraphicFramePr>
        <xdr:cNvPr id="1" name="Chart 1"/>
        <xdr:cNvGraphicFramePr/>
      </xdr:nvGraphicFramePr>
      <xdr:xfrm>
        <a:off x="66675" y="5076825"/>
        <a:ext cx="11649075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16</xdr:col>
      <xdr:colOff>0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14300" y="0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План на січень- липень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2019р.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05.08.2019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1 274 186,6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1 106 006,9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 липень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2019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-161 487,7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                 План на  липень 2019р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169 538,0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липень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2019р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- 168 180,6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65;&#1086;&#1076;&#1077;&#1085;&#1085;&#1110;%2020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7"/>
      <sheetName val="Лист10"/>
      <sheetName val="Лист9"/>
      <sheetName val="Лист6"/>
      <sheetName val="частка бюдж в ПДФО"/>
      <sheetName val="Лист5"/>
      <sheetName val="Азот и обленерго"/>
      <sheetName val="Лист3"/>
      <sheetName val="22012500"/>
      <sheetName val="210811-3"/>
      <sheetName val="210811 для заход"/>
      <sheetName val="210811-2"/>
      <sheetName val="210811"/>
      <sheetName val="трансф"/>
      <sheetName val="розв-2"/>
      <sheetName val="розв"/>
      <sheetName val="240603-2"/>
      <sheetName val="240603"/>
      <sheetName val="210805. 535"/>
      <sheetName val="220804-2"/>
      <sheetName val="8842-сф"/>
      <sheetName val="8852-жбк"/>
      <sheetName val="8822-сф"/>
      <sheetName val="%% СФ. 903"/>
      <sheetName val="8882-сф"/>
      <sheetName val="220804. 871"/>
      <sheetName val="депозит"/>
      <sheetName val="надх"/>
      <sheetName val="залишки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жовтень"/>
      <sheetName val="вересень"/>
      <sheetName val="кредити"/>
      <sheetName val="повер ПДФО та трансп"/>
      <sheetName val="110202. 861"/>
      <sheetName val="2111 з 2003р"/>
      <sheetName val="Лист2"/>
      <sheetName val="Лист4"/>
      <sheetName val="Лист1"/>
      <sheetName val="Лист8"/>
      <sheetName val="210103. 871"/>
      <sheetName val="2105. 534"/>
      <sheetName val="210815. 561"/>
      <sheetName val="240622. 611"/>
      <sheetName val="5011"/>
      <sheetName val="240619"/>
    </sheetNames>
    <sheetDataSet>
      <sheetData sheetId="28">
        <row r="6">
          <cell r="G6">
            <v>38434655.98</v>
          </cell>
          <cell r="K6">
            <v>46964.890000000596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серпень 19"/>
      <sheetName val="липень 19"/>
      <sheetName val="червень 19"/>
      <sheetName val="травень 19"/>
      <sheetName val="квітень 19"/>
      <sheetName val="березень 19"/>
      <sheetName val="лютий 19"/>
      <sheetName val="січень 19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2017 рік"/>
      <sheetName val="2016 рік"/>
    </sheetNames>
    <sheetDataSet>
      <sheetData sheetId="0">
        <row r="9">
          <cell r="F9">
            <v>774994.1</v>
          </cell>
          <cell r="G9">
            <v>668801.93</v>
          </cell>
        </row>
        <row r="20">
          <cell r="F20">
            <v>74395.6</v>
          </cell>
          <cell r="G20">
            <v>66429.72</v>
          </cell>
        </row>
        <row r="26">
          <cell r="G26">
            <v>25859.73</v>
          </cell>
        </row>
        <row r="36">
          <cell r="F36">
            <v>134490.3</v>
          </cell>
          <cell r="G36">
            <v>107955.13</v>
          </cell>
        </row>
        <row r="48">
          <cell r="F48">
            <v>221284.59999999998</v>
          </cell>
          <cell r="G48">
            <v>202975.21</v>
          </cell>
        </row>
        <row r="56">
          <cell r="F56">
            <v>6969.86</v>
          </cell>
          <cell r="G56">
            <v>7302.15</v>
          </cell>
        </row>
        <row r="66">
          <cell r="F66">
            <v>4815.3</v>
          </cell>
          <cell r="G66">
            <v>4879.69</v>
          </cell>
        </row>
        <row r="81">
          <cell r="F81">
            <v>1274186.56</v>
          </cell>
          <cell r="G81">
            <v>1106005.9500000002</v>
          </cell>
        </row>
        <row r="90">
          <cell r="F90">
            <v>24533</v>
          </cell>
          <cell r="G90">
            <v>207.71</v>
          </cell>
        </row>
        <row r="91">
          <cell r="F91">
            <v>65070</v>
          </cell>
          <cell r="G91">
            <v>1493.56</v>
          </cell>
        </row>
        <row r="92">
          <cell r="F92">
            <v>12500</v>
          </cell>
          <cell r="G92">
            <v>3469.75</v>
          </cell>
        </row>
        <row r="93">
          <cell r="F93">
            <v>16</v>
          </cell>
          <cell r="G93">
            <v>12</v>
          </cell>
        </row>
      </sheetData>
      <sheetData sheetId="1">
        <row r="26">
          <cell r="F26">
            <v>26777.2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F2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17" sqref="J17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34" t="s">
        <v>66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6"/>
      <c r="Q1" s="1"/>
      <c r="R1" s="137" t="s">
        <v>67</v>
      </c>
      <c r="S1" s="138"/>
      <c r="T1" s="138"/>
      <c r="U1" s="138"/>
      <c r="V1" s="138"/>
      <c r="W1" s="139"/>
    </row>
    <row r="2" spans="1:23" ht="15" thickBot="1">
      <c r="A2" s="140" t="s">
        <v>71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2"/>
      <c r="Q2" s="1"/>
      <c r="R2" s="143" t="s">
        <v>70</v>
      </c>
      <c r="S2" s="144"/>
      <c r="T2" s="144"/>
      <c r="U2" s="144"/>
      <c r="V2" s="144"/>
      <c r="W2" s="145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59</v>
      </c>
      <c r="K3" s="22" t="s">
        <v>4</v>
      </c>
      <c r="L3" s="22" t="s">
        <v>57</v>
      </c>
      <c r="M3" s="29" t="s">
        <v>5</v>
      </c>
      <c r="N3" s="29" t="s">
        <v>48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46" t="s">
        <v>47</v>
      </c>
      <c r="V3" s="147"/>
      <c r="W3" s="93" t="s">
        <v>27</v>
      </c>
    </row>
    <row r="4" spans="1:23" ht="12.75">
      <c r="A4" s="10">
        <v>43467</v>
      </c>
      <c r="B4" s="65"/>
      <c r="C4" s="79"/>
      <c r="D4" s="106"/>
      <c r="E4" s="106">
        <f>C4-D4</f>
        <v>0</v>
      </c>
      <c r="F4" s="65"/>
      <c r="G4" s="65"/>
      <c r="H4" s="67"/>
      <c r="I4" s="78"/>
      <c r="J4" s="78"/>
      <c r="K4" s="78"/>
      <c r="L4" s="65"/>
      <c r="M4" s="65">
        <f aca="true" t="shared" si="0" ref="M4:M24">N4-B4-C4-F4-G4-H4-I4-J4-K4-L4</f>
        <v>0</v>
      </c>
      <c r="N4" s="65">
        <v>0</v>
      </c>
      <c r="O4" s="65">
        <v>0</v>
      </c>
      <c r="P4" s="3" t="e">
        <f aca="true" t="shared" si="1" ref="P4:P24">N4/O4</f>
        <v>#DIV/0!</v>
      </c>
      <c r="Q4" s="2">
        <f>AVERAGE(N4:N24)</f>
        <v>6748.5076190476175</v>
      </c>
      <c r="R4" s="94">
        <v>0</v>
      </c>
      <c r="S4" s="95">
        <v>0</v>
      </c>
      <c r="T4" s="96">
        <v>0</v>
      </c>
      <c r="U4" s="148">
        <v>0</v>
      </c>
      <c r="V4" s="149"/>
      <c r="W4" s="97">
        <f>R4+S4+U4+T4+V4</f>
        <v>0</v>
      </c>
    </row>
    <row r="5" spans="1:23" ht="12.75">
      <c r="A5" s="10">
        <v>43468</v>
      </c>
      <c r="B5" s="65">
        <f>2658.5+26.4+89.16</f>
        <v>2774.06</v>
      </c>
      <c r="C5" s="79">
        <v>139.9</v>
      </c>
      <c r="D5" s="106">
        <v>139.9</v>
      </c>
      <c r="E5" s="106">
        <f aca="true" t="shared" si="2" ref="E5:E24">C5-D5</f>
        <v>0</v>
      </c>
      <c r="F5" s="65">
        <f>2.5+1.8+1.1+82.8</f>
        <v>88.2</v>
      </c>
      <c r="G5" s="65">
        <f>27.15+344.14+1.7+22.2</f>
        <v>395.18999999999994</v>
      </c>
      <c r="H5" s="79">
        <f>175.64+1211.93</f>
        <v>1387.5700000000002</v>
      </c>
      <c r="I5" s="78">
        <f>29.8+28.2</f>
        <v>58</v>
      </c>
      <c r="J5" s="78">
        <v>11.3</v>
      </c>
      <c r="K5" s="78">
        <v>0</v>
      </c>
      <c r="L5" s="65">
        <v>0</v>
      </c>
      <c r="M5" s="65">
        <f t="shared" si="0"/>
        <v>28.279999999999927</v>
      </c>
      <c r="N5" s="65">
        <v>4882.5</v>
      </c>
      <c r="O5" s="65">
        <v>4800</v>
      </c>
      <c r="P5" s="3">
        <f t="shared" si="1"/>
        <v>1.0171875</v>
      </c>
      <c r="Q5" s="2">
        <v>6748.5</v>
      </c>
      <c r="R5" s="69">
        <v>11.1</v>
      </c>
      <c r="S5" s="65">
        <v>0</v>
      </c>
      <c r="T5" s="70">
        <v>21.56</v>
      </c>
      <c r="U5" s="111">
        <v>0</v>
      </c>
      <c r="V5" s="112"/>
      <c r="W5" s="68">
        <f aca="true" t="shared" si="3" ref="W5:W24">R5+S5+U5+T5+V5</f>
        <v>32.66</v>
      </c>
    </row>
    <row r="6" spans="1:23" ht="12.75">
      <c r="A6" s="10">
        <v>43469</v>
      </c>
      <c r="B6" s="65">
        <f>13526.98+53.31+93.64+0.35</f>
        <v>13674.279999999999</v>
      </c>
      <c r="C6" s="79">
        <v>11.95</v>
      </c>
      <c r="D6" s="106">
        <v>11.95</v>
      </c>
      <c r="E6" s="106">
        <f t="shared" si="2"/>
        <v>0</v>
      </c>
      <c r="F6" s="72">
        <f>-1.1+32.4+0.09</f>
        <v>31.389999999999997</v>
      </c>
      <c r="G6" s="65">
        <f>6.9+103.35+0.55+19.77</f>
        <v>130.57</v>
      </c>
      <c r="H6" s="80">
        <f>220.08+975</f>
        <v>1195.08</v>
      </c>
      <c r="I6" s="78">
        <f>85.4+5.1</f>
        <v>90.5</v>
      </c>
      <c r="J6" s="78">
        <v>79.25</v>
      </c>
      <c r="K6" s="78">
        <v>0</v>
      </c>
      <c r="L6" s="78">
        <v>0</v>
      </c>
      <c r="M6" s="65">
        <f t="shared" si="0"/>
        <v>12.180000000001883</v>
      </c>
      <c r="N6" s="65">
        <v>15225.2</v>
      </c>
      <c r="O6" s="65">
        <v>15300</v>
      </c>
      <c r="P6" s="3">
        <f t="shared" si="1"/>
        <v>0.9951111111111112</v>
      </c>
      <c r="Q6" s="2">
        <v>6748.5</v>
      </c>
      <c r="R6" s="71">
        <v>0</v>
      </c>
      <c r="S6" s="72">
        <v>0</v>
      </c>
      <c r="T6" s="73">
        <v>0</v>
      </c>
      <c r="U6" s="132">
        <v>0</v>
      </c>
      <c r="V6" s="133"/>
      <c r="W6" s="68">
        <f t="shared" si="3"/>
        <v>0</v>
      </c>
    </row>
    <row r="7" spans="1:23" ht="12.75">
      <c r="A7" s="10">
        <v>43473</v>
      </c>
      <c r="B7" s="77">
        <f>1828.09+93.98+22.1</f>
        <v>1944.1699999999998</v>
      </c>
      <c r="C7" s="79">
        <v>14.1</v>
      </c>
      <c r="D7" s="106">
        <v>14.1</v>
      </c>
      <c r="E7" s="106">
        <f t="shared" si="2"/>
        <v>0</v>
      </c>
      <c r="F7" s="65">
        <f>6.8+19.6+5.4</f>
        <v>31.800000000000004</v>
      </c>
      <c r="G7" s="65">
        <f>4.2+83.4+1.9+37.4</f>
        <v>126.9</v>
      </c>
      <c r="H7" s="79">
        <f>455.6+3021.4</f>
        <v>3477</v>
      </c>
      <c r="I7" s="78">
        <f>41.8+62.5</f>
        <v>104.3</v>
      </c>
      <c r="J7" s="78">
        <v>6.8</v>
      </c>
      <c r="K7" s="78">
        <v>0</v>
      </c>
      <c r="L7" s="78">
        <v>0</v>
      </c>
      <c r="M7" s="65">
        <f t="shared" si="0"/>
        <v>11.429999999999747</v>
      </c>
      <c r="N7" s="65">
        <v>5716.5</v>
      </c>
      <c r="O7" s="65">
        <v>5600</v>
      </c>
      <c r="P7" s="3">
        <f t="shared" si="1"/>
        <v>1.0208035714285715</v>
      </c>
      <c r="Q7" s="2">
        <v>6748.5</v>
      </c>
      <c r="R7" s="71">
        <v>0</v>
      </c>
      <c r="S7" s="72">
        <v>0</v>
      </c>
      <c r="T7" s="73">
        <v>3.86</v>
      </c>
      <c r="U7" s="132">
        <v>1</v>
      </c>
      <c r="V7" s="133"/>
      <c r="W7" s="68">
        <f t="shared" si="3"/>
        <v>4.859999999999999</v>
      </c>
    </row>
    <row r="8" spans="1:23" ht="12.75">
      <c r="A8" s="10">
        <v>43474</v>
      </c>
      <c r="B8" s="65">
        <f>4155.28+33.54+30.76+251.15</f>
        <v>4470.73</v>
      </c>
      <c r="C8" s="70">
        <v>19.3</v>
      </c>
      <c r="D8" s="106">
        <v>19.3</v>
      </c>
      <c r="E8" s="106">
        <f t="shared" si="2"/>
        <v>0</v>
      </c>
      <c r="F8" s="78">
        <f>4.17+9.04+25.21</f>
        <v>38.42</v>
      </c>
      <c r="G8" s="78">
        <f>15.8+73.76+0.69+21.6</f>
        <v>111.85</v>
      </c>
      <c r="H8" s="65">
        <f>167.01+1669.1</f>
        <v>1836.11</v>
      </c>
      <c r="I8" s="78">
        <f>62.75+26.11</f>
        <v>88.86</v>
      </c>
      <c r="J8" s="78">
        <v>103.5</v>
      </c>
      <c r="K8" s="78">
        <v>665.29</v>
      </c>
      <c r="L8" s="78">
        <v>0</v>
      </c>
      <c r="M8" s="65">
        <f t="shared" si="0"/>
        <v>33.440000000000396</v>
      </c>
      <c r="N8" s="65">
        <v>7367.5</v>
      </c>
      <c r="O8" s="65">
        <v>7200</v>
      </c>
      <c r="P8" s="3">
        <f t="shared" si="1"/>
        <v>1.023263888888889</v>
      </c>
      <c r="Q8" s="2">
        <v>6748.5</v>
      </c>
      <c r="R8" s="71">
        <v>0</v>
      </c>
      <c r="S8" s="72">
        <v>0</v>
      </c>
      <c r="T8" s="70">
        <v>276.6</v>
      </c>
      <c r="U8" s="111">
        <v>0</v>
      </c>
      <c r="V8" s="112"/>
      <c r="W8" s="68">
        <f t="shared" si="3"/>
        <v>276.6</v>
      </c>
    </row>
    <row r="9" spans="1:23" ht="12.75">
      <c r="A9" s="10">
        <v>43475</v>
      </c>
      <c r="B9" s="65">
        <f>848.93+74+24.17+395.89</f>
        <v>1342.9899999999998</v>
      </c>
      <c r="C9" s="70">
        <v>18.15</v>
      </c>
      <c r="D9" s="106">
        <v>18.15</v>
      </c>
      <c r="E9" s="106">
        <f t="shared" si="2"/>
        <v>0</v>
      </c>
      <c r="F9" s="78">
        <f>0.35+88.57+0.96</f>
        <v>89.87999999999998</v>
      </c>
      <c r="G9" s="82">
        <f>10.63+149.42+1.46+109.99</f>
        <v>271.5</v>
      </c>
      <c r="H9" s="65">
        <f>295.08+1201.83</f>
        <v>1496.9099999999999</v>
      </c>
      <c r="I9" s="78">
        <f>24.61+46.44</f>
        <v>71.05</v>
      </c>
      <c r="J9" s="78">
        <v>44.7</v>
      </c>
      <c r="K9" s="78">
        <v>0</v>
      </c>
      <c r="L9" s="78">
        <v>0</v>
      </c>
      <c r="M9" s="65">
        <f t="shared" si="0"/>
        <v>9.820000000000391</v>
      </c>
      <c r="N9" s="65">
        <v>3345</v>
      </c>
      <c r="O9" s="65">
        <v>4800</v>
      </c>
      <c r="P9" s="3">
        <f t="shared" si="1"/>
        <v>0.696875</v>
      </c>
      <c r="Q9" s="2">
        <v>6748.5</v>
      </c>
      <c r="R9" s="71">
        <v>0</v>
      </c>
      <c r="S9" s="72">
        <v>0</v>
      </c>
      <c r="T9" s="70">
        <v>0</v>
      </c>
      <c r="U9" s="111">
        <v>0</v>
      </c>
      <c r="V9" s="112"/>
      <c r="W9" s="68">
        <f t="shared" si="3"/>
        <v>0</v>
      </c>
    </row>
    <row r="10" spans="1:23" ht="12.75">
      <c r="A10" s="10">
        <v>43476</v>
      </c>
      <c r="B10" s="65">
        <f>0.75+771.97+69.63+57.94+133.69</f>
        <v>1033.98</v>
      </c>
      <c r="C10" s="70">
        <v>37.058</v>
      </c>
      <c r="D10" s="106">
        <v>37.057</v>
      </c>
      <c r="E10" s="106">
        <f t="shared" si="2"/>
        <v>0.0009999999999976694</v>
      </c>
      <c r="F10" s="78">
        <f>0.41+77.85+2.13</f>
        <v>80.38999999999999</v>
      </c>
      <c r="G10" s="78">
        <f>13.85+73.7+8+18.77</f>
        <v>114.32</v>
      </c>
      <c r="H10" s="65">
        <f>115.09+1219.95</f>
        <v>1335.04</v>
      </c>
      <c r="I10" s="78">
        <f>55.46+31.24</f>
        <v>86.7</v>
      </c>
      <c r="J10" s="78">
        <v>35.99</v>
      </c>
      <c r="K10" s="78">
        <v>0</v>
      </c>
      <c r="L10" s="78">
        <v>0</v>
      </c>
      <c r="M10" s="65">
        <f t="shared" si="0"/>
        <v>46.72200000000003</v>
      </c>
      <c r="N10" s="65">
        <v>2770.2</v>
      </c>
      <c r="O10" s="72">
        <v>3200</v>
      </c>
      <c r="P10" s="3">
        <f t="shared" si="1"/>
        <v>0.8656874999999999</v>
      </c>
      <c r="Q10" s="2">
        <v>6748.5</v>
      </c>
      <c r="R10" s="71">
        <v>0</v>
      </c>
      <c r="S10" s="72">
        <v>0</v>
      </c>
      <c r="T10" s="70">
        <v>5.49</v>
      </c>
      <c r="U10" s="111">
        <v>0</v>
      </c>
      <c r="V10" s="112"/>
      <c r="W10" s="68">
        <f>R10+S10+U10+T10+V10</f>
        <v>5.49</v>
      </c>
    </row>
    <row r="11" spans="1:23" ht="12.75">
      <c r="A11" s="10">
        <v>43479</v>
      </c>
      <c r="B11" s="65">
        <f>1571.44+5.87+382.8</f>
        <v>1960.11</v>
      </c>
      <c r="C11" s="70">
        <v>207.2</v>
      </c>
      <c r="D11" s="106">
        <v>207.2</v>
      </c>
      <c r="E11" s="106">
        <f t="shared" si="2"/>
        <v>0</v>
      </c>
      <c r="F11" s="78">
        <f>8.05+60.23+0.03</f>
        <v>68.31</v>
      </c>
      <c r="G11" s="78">
        <f>23.65+140.45+2.5+60.68</f>
        <v>227.28</v>
      </c>
      <c r="H11" s="65">
        <f>387.94+1411.87</f>
        <v>1799.81</v>
      </c>
      <c r="I11" s="78">
        <f>46.32+7.19</f>
        <v>53.51</v>
      </c>
      <c r="J11" s="78">
        <v>12.83</v>
      </c>
      <c r="K11" s="78">
        <v>0</v>
      </c>
      <c r="L11" s="78">
        <v>0</v>
      </c>
      <c r="M11" s="65">
        <f t="shared" si="0"/>
        <v>38.25000000000083</v>
      </c>
      <c r="N11" s="65">
        <v>4367.3</v>
      </c>
      <c r="O11" s="65">
        <v>4900</v>
      </c>
      <c r="P11" s="3">
        <f t="shared" si="1"/>
        <v>0.8912857142857143</v>
      </c>
      <c r="Q11" s="2">
        <v>6748.5</v>
      </c>
      <c r="R11" s="69">
        <v>0</v>
      </c>
      <c r="S11" s="65">
        <v>0</v>
      </c>
      <c r="T11" s="70">
        <v>3</v>
      </c>
      <c r="U11" s="111">
        <v>0</v>
      </c>
      <c r="V11" s="112"/>
      <c r="W11" s="68">
        <f t="shared" si="3"/>
        <v>3</v>
      </c>
    </row>
    <row r="12" spans="1:23" ht="12.75">
      <c r="A12" s="10">
        <v>43480</v>
      </c>
      <c r="B12" s="77">
        <f>4425.84+28.19+29.01+30</f>
        <v>4513.04</v>
      </c>
      <c r="C12" s="70">
        <v>30.34</v>
      </c>
      <c r="D12" s="106">
        <v>30.34</v>
      </c>
      <c r="E12" s="106">
        <f t="shared" si="2"/>
        <v>0</v>
      </c>
      <c r="F12" s="78">
        <f>198.21+0.59+0.47</f>
        <v>199.27</v>
      </c>
      <c r="G12" s="78">
        <f>18.08+83.91+2.29+89.32</f>
        <v>193.6</v>
      </c>
      <c r="H12" s="65">
        <f>272.98+1773.72</f>
        <v>2046.7</v>
      </c>
      <c r="I12" s="78">
        <f>65.02+76.13</f>
        <v>141.14999999999998</v>
      </c>
      <c r="J12" s="78">
        <v>6.69</v>
      </c>
      <c r="K12" s="78">
        <v>0</v>
      </c>
      <c r="L12" s="78">
        <v>0</v>
      </c>
      <c r="M12" s="65">
        <f t="shared" si="0"/>
        <v>10.350000000000303</v>
      </c>
      <c r="N12" s="65">
        <v>7141.14</v>
      </c>
      <c r="O12" s="65">
        <v>10500</v>
      </c>
      <c r="P12" s="3">
        <f t="shared" si="1"/>
        <v>0.6801085714285715</v>
      </c>
      <c r="Q12" s="2">
        <v>6748.5</v>
      </c>
      <c r="R12" s="69">
        <v>0</v>
      </c>
      <c r="S12" s="65">
        <v>0</v>
      </c>
      <c r="T12" s="70">
        <v>0</v>
      </c>
      <c r="U12" s="111">
        <v>0</v>
      </c>
      <c r="V12" s="112"/>
      <c r="W12" s="68">
        <f t="shared" si="3"/>
        <v>0</v>
      </c>
    </row>
    <row r="13" spans="1:23" ht="12.75">
      <c r="A13" s="10">
        <v>43481</v>
      </c>
      <c r="B13" s="65">
        <f>3400.41+31.29+64.12+830.83</f>
        <v>4326.65</v>
      </c>
      <c r="C13" s="70">
        <v>34.74</v>
      </c>
      <c r="D13" s="106">
        <v>34.74</v>
      </c>
      <c r="E13" s="106">
        <f t="shared" si="2"/>
        <v>0</v>
      </c>
      <c r="F13" s="78">
        <f>277.35+0.13+0.85</f>
        <v>278.33000000000004</v>
      </c>
      <c r="G13" s="78">
        <f>123.15+196.87+3.54+79.86</f>
        <v>403.42</v>
      </c>
      <c r="H13" s="65">
        <f>237.94+1900.22</f>
        <v>2138.16</v>
      </c>
      <c r="I13" s="78">
        <v>4.1</v>
      </c>
      <c r="J13" s="78">
        <v>41.9</v>
      </c>
      <c r="K13" s="78">
        <v>0</v>
      </c>
      <c r="L13" s="78">
        <v>0</v>
      </c>
      <c r="M13" s="65">
        <f t="shared" si="0"/>
        <v>34.200000000000735</v>
      </c>
      <c r="N13" s="65">
        <v>7261.5</v>
      </c>
      <c r="O13" s="65">
        <v>4000</v>
      </c>
      <c r="P13" s="3">
        <f t="shared" si="1"/>
        <v>1.815375</v>
      </c>
      <c r="Q13" s="2">
        <v>6748.5</v>
      </c>
      <c r="R13" s="69">
        <v>0</v>
      </c>
      <c r="S13" s="65">
        <v>0</v>
      </c>
      <c r="T13" s="70">
        <v>0</v>
      </c>
      <c r="U13" s="111">
        <v>0</v>
      </c>
      <c r="V13" s="112"/>
      <c r="W13" s="68">
        <v>0</v>
      </c>
    </row>
    <row r="14" spans="1:23" ht="12.75">
      <c r="A14" s="10">
        <v>43482</v>
      </c>
      <c r="B14" s="65">
        <f>1509.36+26.49+23.93+526.46</f>
        <v>2086.24</v>
      </c>
      <c r="C14" s="70">
        <v>25.9</v>
      </c>
      <c r="D14" s="106">
        <v>25.9</v>
      </c>
      <c r="E14" s="106">
        <f t="shared" si="2"/>
        <v>0</v>
      </c>
      <c r="F14" s="78">
        <f>0.58+174.53+2.79+0.49</f>
        <v>178.39000000000001</v>
      </c>
      <c r="G14" s="78">
        <f>33.55+255.53+6.3+65</f>
        <v>360.38</v>
      </c>
      <c r="H14" s="65">
        <f>137.88+1616.86</f>
        <v>1754.7399999999998</v>
      </c>
      <c r="I14" s="78">
        <f>22.57+15.5</f>
        <v>38.07</v>
      </c>
      <c r="J14" s="78">
        <v>10.26</v>
      </c>
      <c r="K14" s="78">
        <v>0</v>
      </c>
      <c r="L14" s="78">
        <v>0</v>
      </c>
      <c r="M14" s="65">
        <f t="shared" si="0"/>
        <v>60.760000000000154</v>
      </c>
      <c r="N14" s="65">
        <v>4514.74</v>
      </c>
      <c r="O14" s="65">
        <v>3800</v>
      </c>
      <c r="P14" s="3">
        <f t="shared" si="1"/>
        <v>1.1880894736842105</v>
      </c>
      <c r="Q14" s="2">
        <v>6748.5</v>
      </c>
      <c r="R14" s="69">
        <v>0</v>
      </c>
      <c r="S14" s="65">
        <v>0</v>
      </c>
      <c r="T14" s="74">
        <v>152.4</v>
      </c>
      <c r="U14" s="111">
        <v>0</v>
      </c>
      <c r="V14" s="112"/>
      <c r="W14" s="68">
        <f t="shared" si="3"/>
        <v>152.4</v>
      </c>
    </row>
    <row r="15" spans="1:23" ht="12.75">
      <c r="A15" s="10">
        <v>43483</v>
      </c>
      <c r="B15" s="65">
        <v>6753.4</v>
      </c>
      <c r="C15" s="66">
        <v>43.6</v>
      </c>
      <c r="D15" s="106">
        <v>43.6</v>
      </c>
      <c r="E15" s="106">
        <f t="shared" si="2"/>
        <v>0</v>
      </c>
      <c r="F15" s="81">
        <v>204.9</v>
      </c>
      <c r="G15" s="81">
        <v>495.4</v>
      </c>
      <c r="H15" s="82">
        <v>2440.85</v>
      </c>
      <c r="I15" s="81">
        <v>69.1</v>
      </c>
      <c r="J15" s="81">
        <v>27.15</v>
      </c>
      <c r="K15" s="81">
        <v>0</v>
      </c>
      <c r="L15" s="81">
        <v>0</v>
      </c>
      <c r="M15" s="65">
        <f t="shared" si="0"/>
        <v>19.500000000000007</v>
      </c>
      <c r="N15" s="65">
        <v>10053.9</v>
      </c>
      <c r="O15" s="72">
        <v>7500</v>
      </c>
      <c r="P15" s="3">
        <f>N15/O15</f>
        <v>1.34052</v>
      </c>
      <c r="Q15" s="2">
        <v>6748.5</v>
      </c>
      <c r="R15" s="69">
        <v>0</v>
      </c>
      <c r="S15" s="65">
        <v>0</v>
      </c>
      <c r="T15" s="74">
        <v>0</v>
      </c>
      <c r="U15" s="111">
        <v>0</v>
      </c>
      <c r="V15" s="112"/>
      <c r="W15" s="68">
        <f t="shared" si="3"/>
        <v>0</v>
      </c>
    </row>
    <row r="16" spans="1:23" ht="12.75">
      <c r="A16" s="10">
        <v>43486</v>
      </c>
      <c r="B16" s="65">
        <v>4641.7</v>
      </c>
      <c r="C16" s="70">
        <v>187.6</v>
      </c>
      <c r="D16" s="106">
        <v>187.6</v>
      </c>
      <c r="E16" s="106">
        <f t="shared" si="2"/>
        <v>0</v>
      </c>
      <c r="F16" s="78">
        <v>447.5</v>
      </c>
      <c r="G16" s="78">
        <v>489</v>
      </c>
      <c r="H16" s="65">
        <v>1704.2</v>
      </c>
      <c r="I16" s="78">
        <v>110.9</v>
      </c>
      <c r="J16" s="78">
        <v>20</v>
      </c>
      <c r="K16" s="78">
        <v>0</v>
      </c>
      <c r="L16" s="78">
        <v>0</v>
      </c>
      <c r="M16" s="65">
        <f t="shared" si="0"/>
        <v>-57.06999999999985</v>
      </c>
      <c r="N16" s="65">
        <v>7543.83</v>
      </c>
      <c r="O16" s="72">
        <v>5490</v>
      </c>
      <c r="P16" s="3">
        <f t="shared" si="1"/>
        <v>1.374103825136612</v>
      </c>
      <c r="Q16" s="2">
        <v>6748.5</v>
      </c>
      <c r="R16" s="69">
        <v>0</v>
      </c>
      <c r="S16" s="65">
        <v>0</v>
      </c>
      <c r="T16" s="74">
        <v>0</v>
      </c>
      <c r="U16" s="111">
        <v>0</v>
      </c>
      <c r="V16" s="112"/>
      <c r="W16" s="68">
        <f t="shared" si="3"/>
        <v>0</v>
      </c>
    </row>
    <row r="17" spans="1:23" ht="12.75">
      <c r="A17" s="10">
        <v>43487</v>
      </c>
      <c r="B17" s="65">
        <v>4528.9</v>
      </c>
      <c r="C17" s="70">
        <v>111.6</v>
      </c>
      <c r="D17" s="106">
        <v>111.6</v>
      </c>
      <c r="E17" s="106">
        <f t="shared" si="2"/>
        <v>0</v>
      </c>
      <c r="F17" s="78">
        <v>362.3</v>
      </c>
      <c r="G17" s="78">
        <v>568.8</v>
      </c>
      <c r="H17" s="65">
        <v>1244.3</v>
      </c>
      <c r="I17" s="78">
        <v>60.5</v>
      </c>
      <c r="J17" s="78">
        <v>0.4</v>
      </c>
      <c r="K17" s="78">
        <v>0</v>
      </c>
      <c r="L17" s="78">
        <v>0</v>
      </c>
      <c r="M17" s="65">
        <f t="shared" si="0"/>
        <v>21.90000000000041</v>
      </c>
      <c r="N17" s="65">
        <v>6898.7</v>
      </c>
      <c r="O17" s="65">
        <v>8500</v>
      </c>
      <c r="P17" s="3">
        <f t="shared" si="1"/>
        <v>0.8116117647058824</v>
      </c>
      <c r="Q17" s="2">
        <v>6748.5</v>
      </c>
      <c r="R17" s="69">
        <v>0</v>
      </c>
      <c r="S17" s="65">
        <v>0</v>
      </c>
      <c r="T17" s="74">
        <v>0</v>
      </c>
      <c r="U17" s="111">
        <v>0</v>
      </c>
      <c r="V17" s="112"/>
      <c r="W17" s="68">
        <f t="shared" si="3"/>
        <v>0</v>
      </c>
    </row>
    <row r="18" spans="1:23" ht="12.75">
      <c r="A18" s="10">
        <v>43488</v>
      </c>
      <c r="B18" s="65">
        <v>3475.2</v>
      </c>
      <c r="C18" s="70">
        <v>92</v>
      </c>
      <c r="D18" s="106">
        <v>92</v>
      </c>
      <c r="E18" s="106">
        <f t="shared" si="2"/>
        <v>0</v>
      </c>
      <c r="F18" s="78">
        <v>347.3</v>
      </c>
      <c r="G18" s="78">
        <v>444.75</v>
      </c>
      <c r="H18" s="65">
        <v>825</v>
      </c>
      <c r="I18" s="78">
        <v>79.4</v>
      </c>
      <c r="J18" s="78">
        <v>12.8</v>
      </c>
      <c r="K18" s="78">
        <v>0</v>
      </c>
      <c r="L18" s="78">
        <v>0</v>
      </c>
      <c r="M18" s="65">
        <f>N18-B18-C18-F18-G18-H18-I18-J18-K18-L18</f>
        <v>30.350000000000403</v>
      </c>
      <c r="N18" s="65">
        <v>5306.8</v>
      </c>
      <c r="O18" s="65">
        <v>3700</v>
      </c>
      <c r="P18" s="3">
        <f>N18/O18</f>
        <v>1.4342702702702703</v>
      </c>
      <c r="Q18" s="2">
        <v>6748.5</v>
      </c>
      <c r="R18" s="69">
        <v>14.7</v>
      </c>
      <c r="S18" s="65">
        <v>0</v>
      </c>
      <c r="T18" s="70">
        <v>0</v>
      </c>
      <c r="U18" s="111">
        <v>0</v>
      </c>
      <c r="V18" s="112"/>
      <c r="W18" s="68">
        <f t="shared" si="3"/>
        <v>14.7</v>
      </c>
    </row>
    <row r="19" spans="1:23" ht="12.75">
      <c r="A19" s="10">
        <v>43489</v>
      </c>
      <c r="B19" s="65">
        <v>1727.4</v>
      </c>
      <c r="C19" s="70">
        <v>656.7</v>
      </c>
      <c r="D19" s="106">
        <v>656.7</v>
      </c>
      <c r="E19" s="106">
        <f t="shared" si="2"/>
        <v>0</v>
      </c>
      <c r="F19" s="78">
        <v>611.8</v>
      </c>
      <c r="G19" s="78">
        <v>1473.9</v>
      </c>
      <c r="H19" s="65">
        <v>809.4</v>
      </c>
      <c r="I19" s="78">
        <v>86.4</v>
      </c>
      <c r="J19" s="78">
        <v>4.2</v>
      </c>
      <c r="K19" s="78">
        <v>0</v>
      </c>
      <c r="L19" s="78">
        <v>0</v>
      </c>
      <c r="M19" s="65">
        <f>N19-B19-C19-F19-G19-H19-I19-J19-K19-L19</f>
        <v>16.429999999998945</v>
      </c>
      <c r="N19" s="65">
        <v>5386.23</v>
      </c>
      <c r="O19" s="65">
        <v>4600</v>
      </c>
      <c r="P19" s="3">
        <f t="shared" si="1"/>
        <v>1.1709195652173912</v>
      </c>
      <c r="Q19" s="2">
        <v>6748.5</v>
      </c>
      <c r="R19" s="69">
        <v>0</v>
      </c>
      <c r="S19" s="65">
        <v>0</v>
      </c>
      <c r="T19" s="70">
        <v>0</v>
      </c>
      <c r="U19" s="111">
        <v>0</v>
      </c>
      <c r="V19" s="112"/>
      <c r="W19" s="68">
        <f t="shared" si="3"/>
        <v>0</v>
      </c>
    </row>
    <row r="20" spans="1:23" ht="12.75">
      <c r="A20" s="10">
        <v>43490</v>
      </c>
      <c r="B20" s="65">
        <v>893.5</v>
      </c>
      <c r="C20" s="70">
        <v>1340.1</v>
      </c>
      <c r="D20" s="106">
        <v>1340.1</v>
      </c>
      <c r="E20" s="106">
        <f t="shared" si="2"/>
        <v>0</v>
      </c>
      <c r="F20" s="78">
        <v>592.6</v>
      </c>
      <c r="G20" s="65">
        <v>1434.8</v>
      </c>
      <c r="H20" s="65">
        <v>1516.8</v>
      </c>
      <c r="I20" s="78">
        <v>82.9</v>
      </c>
      <c r="J20" s="78">
        <v>9.2</v>
      </c>
      <c r="K20" s="78">
        <v>0</v>
      </c>
      <c r="L20" s="78">
        <v>0</v>
      </c>
      <c r="M20" s="65">
        <f t="shared" si="0"/>
        <v>24.14000000000023</v>
      </c>
      <c r="N20" s="65">
        <v>5894.04</v>
      </c>
      <c r="O20" s="65">
        <v>5330</v>
      </c>
      <c r="P20" s="3">
        <f t="shared" si="1"/>
        <v>1.1058236397748593</v>
      </c>
      <c r="Q20" s="2">
        <v>6748.5</v>
      </c>
      <c r="R20" s="69">
        <v>11.8</v>
      </c>
      <c r="S20" s="65">
        <v>0</v>
      </c>
      <c r="T20" s="70">
        <v>0</v>
      </c>
      <c r="U20" s="111">
        <v>0</v>
      </c>
      <c r="V20" s="112"/>
      <c r="W20" s="68">
        <f t="shared" si="3"/>
        <v>11.8</v>
      </c>
    </row>
    <row r="21" spans="1:23" ht="12.75">
      <c r="A21" s="10">
        <v>43493</v>
      </c>
      <c r="B21" s="65">
        <v>991</v>
      </c>
      <c r="C21" s="70">
        <v>1405.1</v>
      </c>
      <c r="D21" s="106">
        <v>1405.1</v>
      </c>
      <c r="E21" s="106">
        <f t="shared" si="2"/>
        <v>0</v>
      </c>
      <c r="F21" s="78">
        <v>995.6</v>
      </c>
      <c r="G21" s="65">
        <v>1355.2</v>
      </c>
      <c r="H21" s="65">
        <v>1515.5</v>
      </c>
      <c r="I21" s="78">
        <v>119.9</v>
      </c>
      <c r="J21" s="78">
        <v>56</v>
      </c>
      <c r="K21" s="78">
        <v>0</v>
      </c>
      <c r="L21" s="78">
        <v>0</v>
      </c>
      <c r="M21" s="65">
        <f t="shared" si="0"/>
        <v>41.040000000000276</v>
      </c>
      <c r="N21" s="65">
        <v>6479.34</v>
      </c>
      <c r="O21" s="65">
        <v>5800</v>
      </c>
      <c r="P21" s="3">
        <f t="shared" si="1"/>
        <v>1.1171275862068966</v>
      </c>
      <c r="Q21" s="2">
        <v>6748.5</v>
      </c>
      <c r="R21" s="102">
        <v>0</v>
      </c>
      <c r="S21" s="103">
        <v>0</v>
      </c>
      <c r="T21" s="104">
        <v>0</v>
      </c>
      <c r="U21" s="111">
        <v>0</v>
      </c>
      <c r="V21" s="112"/>
      <c r="W21" s="68">
        <f t="shared" si="3"/>
        <v>0</v>
      </c>
    </row>
    <row r="22" spans="1:23" ht="12.75">
      <c r="A22" s="10">
        <v>43494</v>
      </c>
      <c r="B22" s="65">
        <v>1388.8</v>
      </c>
      <c r="C22" s="70">
        <v>897.9</v>
      </c>
      <c r="D22" s="106">
        <v>897.9</v>
      </c>
      <c r="E22" s="106">
        <f t="shared" si="2"/>
        <v>0</v>
      </c>
      <c r="F22" s="78">
        <v>1425.6</v>
      </c>
      <c r="G22" s="65">
        <v>2173.7</v>
      </c>
      <c r="H22" s="65">
        <v>1119.2</v>
      </c>
      <c r="I22" s="78">
        <v>91.8</v>
      </c>
      <c r="J22" s="78">
        <v>23.6</v>
      </c>
      <c r="K22" s="78">
        <v>0</v>
      </c>
      <c r="L22" s="78">
        <v>0</v>
      </c>
      <c r="M22" s="65">
        <f t="shared" si="0"/>
        <v>24.640000000000192</v>
      </c>
      <c r="N22" s="65">
        <v>7145.24</v>
      </c>
      <c r="O22" s="65">
        <v>9900</v>
      </c>
      <c r="P22" s="3">
        <f t="shared" si="1"/>
        <v>0.7217414141414141</v>
      </c>
      <c r="Q22" s="2">
        <v>6748.5</v>
      </c>
      <c r="R22" s="102">
        <v>0</v>
      </c>
      <c r="S22" s="103">
        <v>0</v>
      </c>
      <c r="T22" s="104">
        <v>0</v>
      </c>
      <c r="U22" s="111">
        <v>0</v>
      </c>
      <c r="V22" s="112"/>
      <c r="W22" s="68">
        <f t="shared" si="3"/>
        <v>0</v>
      </c>
    </row>
    <row r="23" spans="1:23" ht="12.75">
      <c r="A23" s="10">
        <v>43495</v>
      </c>
      <c r="B23" s="65">
        <v>8468.2</v>
      </c>
      <c r="C23" s="70">
        <v>251.9</v>
      </c>
      <c r="D23" s="106">
        <v>251.9</v>
      </c>
      <c r="E23" s="106">
        <f t="shared" si="2"/>
        <v>0</v>
      </c>
      <c r="F23" s="78">
        <v>122</v>
      </c>
      <c r="G23" s="65">
        <v>2535</v>
      </c>
      <c r="H23" s="65">
        <v>1016.8</v>
      </c>
      <c r="I23" s="78">
        <v>23.6</v>
      </c>
      <c r="J23" s="78">
        <v>10.3</v>
      </c>
      <c r="K23" s="78">
        <v>0</v>
      </c>
      <c r="L23" s="78">
        <v>0</v>
      </c>
      <c r="M23" s="65">
        <f t="shared" si="0"/>
        <v>41.59999999999886</v>
      </c>
      <c r="N23" s="65">
        <v>12469.4</v>
      </c>
      <c r="O23" s="65">
        <v>11500</v>
      </c>
      <c r="P23" s="3">
        <f t="shared" si="1"/>
        <v>1.084295652173913</v>
      </c>
      <c r="Q23" s="2">
        <v>6748.5</v>
      </c>
      <c r="R23" s="102">
        <v>0</v>
      </c>
      <c r="S23" s="103">
        <v>0</v>
      </c>
      <c r="T23" s="104">
        <v>0</v>
      </c>
      <c r="U23" s="111">
        <v>0</v>
      </c>
      <c r="V23" s="112"/>
      <c r="W23" s="68">
        <f t="shared" si="3"/>
        <v>0</v>
      </c>
    </row>
    <row r="24" spans="1:23" ht="13.5" thickBot="1">
      <c r="A24" s="10">
        <v>43496</v>
      </c>
      <c r="B24" s="65">
        <v>10039.7</v>
      </c>
      <c r="C24" s="74">
        <v>2.5</v>
      </c>
      <c r="D24" s="106">
        <v>2.5</v>
      </c>
      <c r="E24" s="106">
        <f t="shared" si="2"/>
        <v>0</v>
      </c>
      <c r="F24" s="78">
        <v>321.4</v>
      </c>
      <c r="G24" s="65">
        <v>194.7</v>
      </c>
      <c r="H24" s="65">
        <v>1218.4</v>
      </c>
      <c r="I24" s="78">
        <v>108.3</v>
      </c>
      <c r="J24" s="78">
        <v>47.1</v>
      </c>
      <c r="K24" s="78">
        <v>0</v>
      </c>
      <c r="L24" s="78">
        <v>0</v>
      </c>
      <c r="M24" s="65">
        <f t="shared" si="0"/>
        <v>17.49999999999941</v>
      </c>
      <c r="N24" s="65">
        <v>11949.6</v>
      </c>
      <c r="O24" s="65">
        <v>6500</v>
      </c>
      <c r="P24" s="3">
        <f t="shared" si="1"/>
        <v>1.8384</v>
      </c>
      <c r="Q24" s="2">
        <v>6748.5</v>
      </c>
      <c r="R24" s="98">
        <v>0</v>
      </c>
      <c r="S24" s="99">
        <v>0</v>
      </c>
      <c r="T24" s="100">
        <v>0</v>
      </c>
      <c r="U24" s="126">
        <v>0</v>
      </c>
      <c r="V24" s="127"/>
      <c r="W24" s="101">
        <f t="shared" si="3"/>
        <v>0</v>
      </c>
    </row>
    <row r="25" spans="1:23" ht="13.5" thickBot="1">
      <c r="A25" s="83" t="s">
        <v>28</v>
      </c>
      <c r="B25" s="85">
        <f aca="true" t="shared" si="4" ref="B25:O25">SUM(B4:B24)</f>
        <v>81034.04999999999</v>
      </c>
      <c r="C25" s="85">
        <f t="shared" si="4"/>
        <v>5527.637999999999</v>
      </c>
      <c r="D25" s="107">
        <f t="shared" si="4"/>
        <v>5527.636999999999</v>
      </c>
      <c r="E25" s="107">
        <f t="shared" si="4"/>
        <v>0.0009999999999976694</v>
      </c>
      <c r="F25" s="85">
        <f t="shared" si="4"/>
        <v>6515.379999999999</v>
      </c>
      <c r="G25" s="85">
        <f t="shared" si="4"/>
        <v>13500.260000000002</v>
      </c>
      <c r="H25" s="85">
        <f t="shared" si="4"/>
        <v>31877.569999999996</v>
      </c>
      <c r="I25" s="85">
        <f t="shared" si="4"/>
        <v>1569.0400000000002</v>
      </c>
      <c r="J25" s="85">
        <f t="shared" si="4"/>
        <v>563.9699999999999</v>
      </c>
      <c r="K25" s="85">
        <f t="shared" si="4"/>
        <v>665.29</v>
      </c>
      <c r="L25" s="85">
        <f t="shared" si="4"/>
        <v>0</v>
      </c>
      <c r="M25" s="84">
        <f t="shared" si="4"/>
        <v>465.4620000000033</v>
      </c>
      <c r="N25" s="84">
        <f t="shared" si="4"/>
        <v>141718.65999999997</v>
      </c>
      <c r="O25" s="84">
        <f t="shared" si="4"/>
        <v>132920</v>
      </c>
      <c r="P25" s="86">
        <f>N25/O25</f>
        <v>1.0661951549804392</v>
      </c>
      <c r="Q25" s="2"/>
      <c r="R25" s="75">
        <f>SUM(R4:R24)</f>
        <v>37.599999999999994</v>
      </c>
      <c r="S25" s="75">
        <f>SUM(S4:S24)</f>
        <v>0</v>
      </c>
      <c r="T25" s="75">
        <f>SUM(T4:T24)</f>
        <v>462.9100000000001</v>
      </c>
      <c r="U25" s="128">
        <f>SUM(U4:U24)</f>
        <v>1</v>
      </c>
      <c r="V25" s="129"/>
      <c r="W25" s="75">
        <f>R25+S25+U25+T25+V25</f>
        <v>501.5100000000001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16" t="s">
        <v>33</v>
      </c>
      <c r="S28" s="116"/>
      <c r="T28" s="116"/>
      <c r="U28" s="116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0" t="s">
        <v>29</v>
      </c>
      <c r="S29" s="130"/>
      <c r="T29" s="130"/>
      <c r="U29" s="130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18">
        <v>43497</v>
      </c>
      <c r="S30" s="131">
        <f>'[2]залишки'!$G$6/1000</f>
        <v>38434.655979999996</v>
      </c>
      <c r="T30" s="131"/>
      <c r="U30" s="131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19"/>
      <c r="S31" s="131"/>
      <c r="T31" s="131"/>
      <c r="U31" s="131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13" t="s">
        <v>45</v>
      </c>
      <c r="T33" s="114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15" t="s">
        <v>40</v>
      </c>
      <c r="T34" s="115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16" t="s">
        <v>30</v>
      </c>
      <c r="S38" s="116"/>
      <c r="T38" s="116"/>
      <c r="U38" s="116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17" t="s">
        <v>31</v>
      </c>
      <c r="S39" s="117"/>
      <c r="T39" s="117"/>
      <c r="U39" s="117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18">
        <v>43497</v>
      </c>
      <c r="S40" s="120">
        <f>'[2]залишки'!$K$6/1000</f>
        <v>46.964890000000594</v>
      </c>
      <c r="T40" s="121"/>
      <c r="U40" s="122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19"/>
      <c r="S41" s="123"/>
      <c r="T41" s="124"/>
      <c r="U41" s="125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7:V17"/>
    <mergeCell ref="U18:V18"/>
    <mergeCell ref="U19:V19"/>
    <mergeCell ref="U20:V20"/>
    <mergeCell ref="U11:V11"/>
    <mergeCell ref="U12:V12"/>
    <mergeCell ref="U13:V13"/>
    <mergeCell ref="U14:V14"/>
    <mergeCell ref="U15:V15"/>
    <mergeCell ref="U16:V16"/>
    <mergeCell ref="R40:R41"/>
    <mergeCell ref="S40:U41"/>
    <mergeCell ref="U24:V24"/>
    <mergeCell ref="U25:V25"/>
    <mergeCell ref="R28:U28"/>
    <mergeCell ref="R29:U29"/>
    <mergeCell ref="R30:R31"/>
    <mergeCell ref="S30:U31"/>
    <mergeCell ref="U21:V21"/>
    <mergeCell ref="U22:V22"/>
    <mergeCell ref="S33:T33"/>
    <mergeCell ref="S34:T34"/>
    <mergeCell ref="R38:U38"/>
    <mergeCell ref="R39:U39"/>
    <mergeCell ref="U23:V2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24" sqref="C24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12" width="9.125" style="15" customWidth="1"/>
    <col min="13" max="13" width="9.875" style="15" customWidth="1"/>
    <col min="14" max="14" width="13.50390625" style="15" customWidth="1"/>
  </cols>
  <sheetData>
    <row r="2" ht="17.25">
      <c r="B2" s="14" t="s">
        <v>68</v>
      </c>
    </row>
    <row r="3" spans="2:7" ht="17.25" hidden="1">
      <c r="B3" s="14"/>
      <c r="G3" s="15" t="s">
        <v>58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12.75">
      <c r="A6" s="64" t="s">
        <v>75</v>
      </c>
      <c r="B6" s="11">
        <v>141718.7</v>
      </c>
      <c r="C6" s="11">
        <v>157987.862</v>
      </c>
      <c r="D6" s="11">
        <v>151549</v>
      </c>
      <c r="E6" s="11">
        <v>162802</v>
      </c>
      <c r="F6" s="11">
        <v>173752.7</v>
      </c>
      <c r="G6" s="11">
        <v>152891.4</v>
      </c>
      <c r="H6" s="11">
        <v>163946.9</v>
      </c>
      <c r="I6" s="11">
        <v>169538</v>
      </c>
      <c r="J6" s="11">
        <v>169140.7</v>
      </c>
      <c r="K6" s="11">
        <v>174884.9</v>
      </c>
      <c r="L6" s="11">
        <v>187929.7</v>
      </c>
      <c r="M6" s="11">
        <v>175710.538</v>
      </c>
      <c r="N6" s="31">
        <f>SUM(B6:M6)</f>
        <v>1981852.4</v>
      </c>
    </row>
    <row r="7" spans="1:14" ht="25.5">
      <c r="A7" s="13" t="s">
        <v>113</v>
      </c>
      <c r="B7" s="18">
        <f aca="true" t="shared" si="0" ref="B7:M7">SUM(B8:B16)</f>
        <v>0</v>
      </c>
      <c r="C7" s="18">
        <f t="shared" si="0"/>
        <v>0</v>
      </c>
      <c r="D7" s="18">
        <f>SUM(D8:D16)</f>
        <v>0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0</v>
      </c>
      <c r="K7" s="18">
        <f t="shared" si="0"/>
        <v>0</v>
      </c>
      <c r="L7" s="18">
        <f t="shared" si="0"/>
        <v>0</v>
      </c>
      <c r="M7" s="18">
        <f t="shared" si="0"/>
        <v>0</v>
      </c>
      <c r="N7" s="31">
        <f>SUM(B8:M16)</f>
        <v>0</v>
      </c>
    </row>
    <row r="8" spans="1:14" ht="14.25" customHeight="1" hidden="1">
      <c r="A8" s="25" t="s">
        <v>69</v>
      </c>
      <c r="B8" s="26">
        <v>0</v>
      </c>
      <c r="C8" s="26">
        <v>0</v>
      </c>
      <c r="D8" s="26">
        <v>0</v>
      </c>
      <c r="E8" s="26"/>
      <c r="F8" s="26"/>
      <c r="G8" s="26"/>
      <c r="H8" s="26"/>
      <c r="I8" s="26"/>
      <c r="J8" s="26"/>
      <c r="K8" s="26"/>
      <c r="L8" s="26"/>
      <c r="M8" s="26"/>
      <c r="N8" s="27">
        <f aca="true" t="shared" si="1" ref="N8:N17">SUM(B8:M8)</f>
        <v>0</v>
      </c>
    </row>
    <row r="9" spans="1:14" ht="12.75" hidden="1">
      <c r="A9" s="25" t="s">
        <v>69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7">
        <f t="shared" si="1"/>
        <v>0</v>
      </c>
    </row>
    <row r="10" spans="1:14" ht="12.75" hidden="1">
      <c r="A10" s="25" t="s">
        <v>69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7">
        <f t="shared" si="1"/>
        <v>0</v>
      </c>
    </row>
    <row r="11" spans="1:14" ht="12.75" hidden="1">
      <c r="A11" s="25" t="s">
        <v>69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7">
        <f t="shared" si="1"/>
        <v>0</v>
      </c>
    </row>
    <row r="12" spans="1:14" ht="12.75" hidden="1">
      <c r="A12" s="25" t="s">
        <v>69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7">
        <f t="shared" si="1"/>
        <v>0</v>
      </c>
    </row>
    <row r="13" spans="1:14" ht="12.75" hidden="1">
      <c r="A13" s="25" t="s">
        <v>69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7">
        <f t="shared" si="1"/>
        <v>0</v>
      </c>
    </row>
    <row r="14" spans="1:14" ht="12.75" hidden="1">
      <c r="A14" s="25" t="s">
        <v>69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>
        <f t="shared" si="1"/>
        <v>0</v>
      </c>
    </row>
    <row r="15" spans="1:14" ht="12.75" hidden="1">
      <c r="A15" s="25" t="s">
        <v>69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>
        <f t="shared" si="1"/>
        <v>0</v>
      </c>
    </row>
    <row r="16" spans="1:14" ht="12.75" hidden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>
        <f t="shared" si="1"/>
        <v>0</v>
      </c>
    </row>
    <row r="17" spans="1:15" ht="13.5" thickBot="1">
      <c r="A17" s="60" t="s">
        <v>76</v>
      </c>
      <c r="B17" s="30">
        <f>B7+B6</f>
        <v>141718.7</v>
      </c>
      <c r="C17" s="30">
        <f aca="true" t="shared" si="2" ref="C17:M17">C7+C6</f>
        <v>157987.862</v>
      </c>
      <c r="D17" s="30">
        <f t="shared" si="2"/>
        <v>151549</v>
      </c>
      <c r="E17" s="30">
        <f t="shared" si="2"/>
        <v>162802</v>
      </c>
      <c r="F17" s="30">
        <f t="shared" si="2"/>
        <v>173752.7</v>
      </c>
      <c r="G17" s="30">
        <f t="shared" si="2"/>
        <v>152891.4</v>
      </c>
      <c r="H17" s="30">
        <f t="shared" si="2"/>
        <v>163946.9</v>
      </c>
      <c r="I17" s="30">
        <f t="shared" si="2"/>
        <v>169538</v>
      </c>
      <c r="J17" s="30">
        <f t="shared" si="2"/>
        <v>169140.7</v>
      </c>
      <c r="K17" s="30">
        <f t="shared" si="2"/>
        <v>174884.9</v>
      </c>
      <c r="L17" s="30">
        <f t="shared" si="2"/>
        <v>187929.7</v>
      </c>
      <c r="M17" s="30">
        <f t="shared" si="2"/>
        <v>175710.538</v>
      </c>
      <c r="N17" s="32">
        <f t="shared" si="1"/>
        <v>1981852.4</v>
      </c>
      <c r="O17" s="15"/>
    </row>
    <row r="19" ht="12" hidden="1"/>
    <row r="20" spans="1:13" ht="12" hidden="1">
      <c r="A20" t="s">
        <v>60</v>
      </c>
      <c r="B20" s="15">
        <v>98086.2</v>
      </c>
      <c r="I20" s="88"/>
      <c r="J20" s="88"/>
      <c r="K20" s="88"/>
      <c r="L20" s="88"/>
      <c r="M20" s="88"/>
    </row>
    <row r="21" spans="1:2" ht="12" hidden="1">
      <c r="A21" t="s">
        <v>61</v>
      </c>
      <c r="B21" s="15">
        <f>B20-B17</f>
        <v>-43632.500000000015</v>
      </c>
    </row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M3" sqref="M3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34" t="s">
        <v>72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6"/>
      <c r="Q1" s="1"/>
      <c r="R1" s="137" t="s">
        <v>74</v>
      </c>
      <c r="S1" s="138"/>
      <c r="T1" s="138"/>
      <c r="U1" s="138"/>
      <c r="V1" s="138"/>
      <c r="W1" s="139"/>
    </row>
    <row r="2" spans="1:23" ht="15" thickBot="1">
      <c r="A2" s="140" t="s">
        <v>77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2"/>
      <c r="Q2" s="1"/>
      <c r="R2" s="143" t="s">
        <v>78</v>
      </c>
      <c r="S2" s="144"/>
      <c r="T2" s="144"/>
      <c r="U2" s="144"/>
      <c r="V2" s="144"/>
      <c r="W2" s="145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59</v>
      </c>
      <c r="K3" s="22" t="s">
        <v>4</v>
      </c>
      <c r="L3" s="22" t="s">
        <v>57</v>
      </c>
      <c r="M3" s="29" t="s">
        <v>5</v>
      </c>
      <c r="N3" s="29" t="s">
        <v>73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46" t="s">
        <v>47</v>
      </c>
      <c r="V3" s="147"/>
      <c r="W3" s="93" t="s">
        <v>27</v>
      </c>
    </row>
    <row r="4" spans="1:23" ht="12.75">
      <c r="A4" s="108">
        <v>43497</v>
      </c>
      <c r="B4" s="65">
        <v>1497.6</v>
      </c>
      <c r="C4" s="79">
        <v>12</v>
      </c>
      <c r="D4" s="106">
        <v>12</v>
      </c>
      <c r="E4" s="106">
        <f>C4-D4</f>
        <v>0</v>
      </c>
      <c r="F4" s="65">
        <v>29.8</v>
      </c>
      <c r="G4" s="65">
        <v>176.5</v>
      </c>
      <c r="H4" s="67">
        <v>1764.8</v>
      </c>
      <c r="I4" s="78">
        <v>45.5</v>
      </c>
      <c r="J4" s="78">
        <v>6.5</v>
      </c>
      <c r="K4" s="78">
        <v>0</v>
      </c>
      <c r="L4" s="65">
        <v>669.9</v>
      </c>
      <c r="M4" s="65">
        <f aca="true" t="shared" si="0" ref="M4:M23">N4-B4-C4-F4-G4-H4-I4-J4-K4-L4</f>
        <v>35.29999999999961</v>
      </c>
      <c r="N4" s="65">
        <v>4237.9</v>
      </c>
      <c r="O4" s="65">
        <v>4000</v>
      </c>
      <c r="P4" s="3">
        <f aca="true" t="shared" si="1" ref="P4:P23">N4/O4</f>
        <v>1.059475</v>
      </c>
      <c r="Q4" s="2">
        <f>AVERAGE(N4:N23)</f>
        <v>7922.398999999999</v>
      </c>
      <c r="R4" s="94">
        <v>0</v>
      </c>
      <c r="S4" s="95">
        <v>0</v>
      </c>
      <c r="T4" s="96">
        <v>1152.94</v>
      </c>
      <c r="U4" s="148">
        <v>0</v>
      </c>
      <c r="V4" s="149"/>
      <c r="W4" s="97">
        <f>R4+S4+U4+T4+V4</f>
        <v>1152.94</v>
      </c>
    </row>
    <row r="5" spans="1:23" ht="12.75">
      <c r="A5" s="10">
        <v>43500</v>
      </c>
      <c r="B5" s="65">
        <v>2507.6</v>
      </c>
      <c r="C5" s="79">
        <v>3.9</v>
      </c>
      <c r="D5" s="106">
        <v>3.9</v>
      </c>
      <c r="E5" s="106">
        <f aca="true" t="shared" si="2" ref="E5:E23">C5-D5</f>
        <v>0</v>
      </c>
      <c r="F5" s="65">
        <v>-196.8</v>
      </c>
      <c r="G5" s="65">
        <v>118.2</v>
      </c>
      <c r="H5" s="79">
        <v>1879.1</v>
      </c>
      <c r="I5" s="78">
        <v>70.9</v>
      </c>
      <c r="J5" s="78">
        <v>9.2</v>
      </c>
      <c r="K5" s="78">
        <v>0</v>
      </c>
      <c r="L5" s="65">
        <v>0</v>
      </c>
      <c r="M5" s="65">
        <f t="shared" si="0"/>
        <v>20.400000000000222</v>
      </c>
      <c r="N5" s="65">
        <v>4412.5</v>
      </c>
      <c r="O5" s="65">
        <v>4500</v>
      </c>
      <c r="P5" s="3">
        <f t="shared" si="1"/>
        <v>0.9805555555555555</v>
      </c>
      <c r="Q5" s="2">
        <v>7922.4</v>
      </c>
      <c r="R5" s="69">
        <v>0</v>
      </c>
      <c r="S5" s="65">
        <v>0</v>
      </c>
      <c r="T5" s="70">
        <v>0</v>
      </c>
      <c r="U5" s="111">
        <v>0</v>
      </c>
      <c r="V5" s="112"/>
      <c r="W5" s="68">
        <f aca="true" t="shared" si="3" ref="W5:W23">R5+S5+U5+T5+V5</f>
        <v>0</v>
      </c>
    </row>
    <row r="6" spans="1:23" ht="12.75">
      <c r="A6" s="10">
        <v>43501</v>
      </c>
      <c r="B6" s="65">
        <v>4006.82</v>
      </c>
      <c r="C6" s="79">
        <v>16.94</v>
      </c>
      <c r="D6" s="106">
        <v>16.94</v>
      </c>
      <c r="E6" s="106">
        <f t="shared" si="2"/>
        <v>0</v>
      </c>
      <c r="F6" s="72">
        <v>38.9</v>
      </c>
      <c r="G6" s="65">
        <v>177.1</v>
      </c>
      <c r="H6" s="80">
        <v>2286.4</v>
      </c>
      <c r="I6" s="78">
        <v>4.4</v>
      </c>
      <c r="J6" s="78">
        <v>61.3</v>
      </c>
      <c r="K6" s="78">
        <v>624.3</v>
      </c>
      <c r="L6" s="78">
        <v>0</v>
      </c>
      <c r="M6" s="65">
        <f t="shared" si="0"/>
        <v>13.940000000000168</v>
      </c>
      <c r="N6" s="65">
        <v>7230.1</v>
      </c>
      <c r="O6" s="65">
        <v>7100</v>
      </c>
      <c r="P6" s="3">
        <f t="shared" si="1"/>
        <v>1.018323943661972</v>
      </c>
      <c r="Q6" s="2">
        <v>7922.4</v>
      </c>
      <c r="R6" s="71">
        <v>0</v>
      </c>
      <c r="S6" s="72">
        <v>0</v>
      </c>
      <c r="T6" s="73">
        <v>0</v>
      </c>
      <c r="U6" s="132">
        <v>0</v>
      </c>
      <c r="V6" s="133"/>
      <c r="W6" s="68">
        <f t="shared" si="3"/>
        <v>0</v>
      </c>
    </row>
    <row r="7" spans="1:23" ht="12.75">
      <c r="A7" s="10">
        <v>43502</v>
      </c>
      <c r="B7" s="77">
        <v>5590.4</v>
      </c>
      <c r="C7" s="79">
        <v>18</v>
      </c>
      <c r="D7" s="106">
        <v>18</v>
      </c>
      <c r="E7" s="106">
        <f t="shared" si="2"/>
        <v>0</v>
      </c>
      <c r="F7" s="65">
        <v>16.8</v>
      </c>
      <c r="G7" s="65">
        <v>139.8</v>
      </c>
      <c r="H7" s="79">
        <v>2735.4</v>
      </c>
      <c r="I7" s="78">
        <v>5.6</v>
      </c>
      <c r="J7" s="78">
        <v>15.9</v>
      </c>
      <c r="K7" s="78">
        <v>0</v>
      </c>
      <c r="L7" s="78">
        <v>0</v>
      </c>
      <c r="M7" s="65">
        <f t="shared" si="0"/>
        <v>23.89999999999918</v>
      </c>
      <c r="N7" s="65">
        <v>8545.8</v>
      </c>
      <c r="O7" s="65">
        <v>9000</v>
      </c>
      <c r="P7" s="3">
        <f t="shared" si="1"/>
        <v>0.9495333333333332</v>
      </c>
      <c r="Q7" s="2">
        <v>7922.4</v>
      </c>
      <c r="R7" s="71">
        <v>0</v>
      </c>
      <c r="S7" s="72">
        <v>0</v>
      </c>
      <c r="T7" s="73">
        <v>0</v>
      </c>
      <c r="U7" s="132">
        <v>0</v>
      </c>
      <c r="V7" s="133"/>
      <c r="W7" s="68">
        <f t="shared" si="3"/>
        <v>0</v>
      </c>
    </row>
    <row r="8" spans="1:23" ht="12.75">
      <c r="A8" s="10">
        <v>43503</v>
      </c>
      <c r="B8" s="65">
        <v>14975.6</v>
      </c>
      <c r="C8" s="70">
        <v>51.8</v>
      </c>
      <c r="D8" s="106">
        <v>51.8</v>
      </c>
      <c r="E8" s="106">
        <f t="shared" si="2"/>
        <v>0</v>
      </c>
      <c r="F8" s="78">
        <v>55.7</v>
      </c>
      <c r="G8" s="78">
        <v>93.1</v>
      </c>
      <c r="H8" s="65">
        <v>2239.2</v>
      </c>
      <c r="I8" s="78">
        <v>139.5</v>
      </c>
      <c r="J8" s="78">
        <v>111.3</v>
      </c>
      <c r="K8" s="78">
        <v>0</v>
      </c>
      <c r="L8" s="78">
        <v>0</v>
      </c>
      <c r="M8" s="65">
        <f t="shared" si="0"/>
        <v>27.200000000001367</v>
      </c>
      <c r="N8" s="65">
        <v>17693.4</v>
      </c>
      <c r="O8" s="65">
        <v>17200</v>
      </c>
      <c r="P8" s="3">
        <f t="shared" si="1"/>
        <v>1.028686046511628</v>
      </c>
      <c r="Q8" s="2">
        <v>7922.4</v>
      </c>
      <c r="R8" s="71">
        <v>0</v>
      </c>
      <c r="S8" s="72">
        <v>0</v>
      </c>
      <c r="T8" s="70">
        <v>0</v>
      </c>
      <c r="U8" s="111">
        <v>1</v>
      </c>
      <c r="V8" s="112"/>
      <c r="W8" s="68">
        <f t="shared" si="3"/>
        <v>1</v>
      </c>
    </row>
    <row r="9" spans="1:23" ht="12.75">
      <c r="A9" s="10">
        <v>43504</v>
      </c>
      <c r="B9" s="65">
        <v>2378.8</v>
      </c>
      <c r="C9" s="70">
        <v>12.1</v>
      </c>
      <c r="D9" s="106">
        <v>12.1</v>
      </c>
      <c r="E9" s="106">
        <f t="shared" si="2"/>
        <v>0</v>
      </c>
      <c r="F9" s="78">
        <v>64.9</v>
      </c>
      <c r="G9" s="82">
        <v>236.4</v>
      </c>
      <c r="H9" s="65">
        <v>1610.1</v>
      </c>
      <c r="I9" s="78">
        <v>13.4</v>
      </c>
      <c r="J9" s="78">
        <v>75.1</v>
      </c>
      <c r="K9" s="78">
        <v>0</v>
      </c>
      <c r="L9" s="78">
        <v>0</v>
      </c>
      <c r="M9" s="65">
        <f t="shared" si="0"/>
        <v>33.899999999999636</v>
      </c>
      <c r="N9" s="65">
        <v>4424.7</v>
      </c>
      <c r="O9" s="65">
        <v>4800</v>
      </c>
      <c r="P9" s="3">
        <f t="shared" si="1"/>
        <v>0.9218124999999999</v>
      </c>
      <c r="Q9" s="2">
        <v>7922.4</v>
      </c>
      <c r="R9" s="71">
        <v>0</v>
      </c>
      <c r="S9" s="72">
        <v>0</v>
      </c>
      <c r="T9" s="70">
        <v>0</v>
      </c>
      <c r="U9" s="111">
        <v>0</v>
      </c>
      <c r="V9" s="112"/>
      <c r="W9" s="68">
        <f t="shared" si="3"/>
        <v>0</v>
      </c>
    </row>
    <row r="10" spans="1:23" ht="12.75">
      <c r="A10" s="10">
        <v>43507</v>
      </c>
      <c r="B10" s="65">
        <v>1473</v>
      </c>
      <c r="C10" s="70">
        <v>9.1</v>
      </c>
      <c r="D10" s="106">
        <v>9.1</v>
      </c>
      <c r="E10" s="106">
        <f t="shared" si="2"/>
        <v>0</v>
      </c>
      <c r="F10" s="78">
        <v>9.7</v>
      </c>
      <c r="G10" s="78">
        <v>298.1</v>
      </c>
      <c r="H10" s="65">
        <v>1976</v>
      </c>
      <c r="I10" s="78">
        <v>187.1</v>
      </c>
      <c r="J10" s="78">
        <v>39.3</v>
      </c>
      <c r="K10" s="78">
        <v>0</v>
      </c>
      <c r="L10" s="78">
        <v>0</v>
      </c>
      <c r="M10" s="65">
        <f t="shared" si="0"/>
        <v>19.000000000000554</v>
      </c>
      <c r="N10" s="65">
        <v>4011.3</v>
      </c>
      <c r="O10" s="72">
        <v>3200</v>
      </c>
      <c r="P10" s="3">
        <f t="shared" si="1"/>
        <v>1.25353125</v>
      </c>
      <c r="Q10" s="2">
        <v>7922.4</v>
      </c>
      <c r="R10" s="71">
        <v>0</v>
      </c>
      <c r="S10" s="72">
        <v>0</v>
      </c>
      <c r="T10" s="70">
        <v>0</v>
      </c>
      <c r="U10" s="111">
        <v>0</v>
      </c>
      <c r="V10" s="112"/>
      <c r="W10" s="68">
        <f>R10+S10+U10+T10+V10</f>
        <v>0</v>
      </c>
    </row>
    <row r="11" spans="1:23" ht="12.75">
      <c r="A11" s="10">
        <v>43508</v>
      </c>
      <c r="B11" s="65">
        <v>810.3</v>
      </c>
      <c r="C11" s="70">
        <v>87.25</v>
      </c>
      <c r="D11" s="106">
        <v>87.25</v>
      </c>
      <c r="E11" s="106">
        <f t="shared" si="2"/>
        <v>0</v>
      </c>
      <c r="F11" s="78">
        <v>20.1</v>
      </c>
      <c r="G11" s="78">
        <v>220.3</v>
      </c>
      <c r="H11" s="65">
        <v>2298.6</v>
      </c>
      <c r="I11" s="78">
        <v>6.9</v>
      </c>
      <c r="J11" s="78">
        <v>13.8</v>
      </c>
      <c r="K11" s="78">
        <v>0</v>
      </c>
      <c r="L11" s="78">
        <v>0</v>
      </c>
      <c r="M11" s="65">
        <f t="shared" si="0"/>
        <v>9.55</v>
      </c>
      <c r="N11" s="65">
        <v>3466.8</v>
      </c>
      <c r="O11" s="65">
        <v>4900</v>
      </c>
      <c r="P11" s="3">
        <f t="shared" si="1"/>
        <v>0.7075102040816327</v>
      </c>
      <c r="Q11" s="2">
        <v>7922.4</v>
      </c>
      <c r="R11" s="69">
        <v>0</v>
      </c>
      <c r="S11" s="65">
        <v>0</v>
      </c>
      <c r="T11" s="70">
        <v>0</v>
      </c>
      <c r="U11" s="111">
        <v>0</v>
      </c>
      <c r="V11" s="112"/>
      <c r="W11" s="68">
        <f t="shared" si="3"/>
        <v>0</v>
      </c>
    </row>
    <row r="12" spans="1:23" ht="12.75">
      <c r="A12" s="10">
        <v>43509</v>
      </c>
      <c r="B12" s="77">
        <v>1768.2</v>
      </c>
      <c r="C12" s="70">
        <v>7.9</v>
      </c>
      <c r="D12" s="106">
        <v>7.9</v>
      </c>
      <c r="E12" s="106">
        <f t="shared" si="2"/>
        <v>0</v>
      </c>
      <c r="F12" s="78">
        <v>18.2</v>
      </c>
      <c r="G12" s="78">
        <v>286.1</v>
      </c>
      <c r="H12" s="65">
        <v>2409.9</v>
      </c>
      <c r="I12" s="78">
        <v>88.4</v>
      </c>
      <c r="J12" s="78">
        <v>8.6</v>
      </c>
      <c r="K12" s="78">
        <v>0</v>
      </c>
      <c r="L12" s="78">
        <v>0</v>
      </c>
      <c r="M12" s="65">
        <f t="shared" si="0"/>
        <v>18.099999999999902</v>
      </c>
      <c r="N12" s="65">
        <v>4605.4</v>
      </c>
      <c r="O12" s="65">
        <v>4800</v>
      </c>
      <c r="P12" s="3">
        <f t="shared" si="1"/>
        <v>0.9594583333333333</v>
      </c>
      <c r="Q12" s="2">
        <v>7922.4</v>
      </c>
      <c r="R12" s="69">
        <v>37.1</v>
      </c>
      <c r="S12" s="65">
        <v>0</v>
      </c>
      <c r="T12" s="70">
        <v>0</v>
      </c>
      <c r="U12" s="111">
        <v>0</v>
      </c>
      <c r="V12" s="112"/>
      <c r="W12" s="68">
        <f t="shared" si="3"/>
        <v>37.1</v>
      </c>
    </row>
    <row r="13" spans="1:23" ht="12.75">
      <c r="A13" s="10">
        <v>43510</v>
      </c>
      <c r="B13" s="65">
        <v>7234.8</v>
      </c>
      <c r="C13" s="70">
        <v>38.7</v>
      </c>
      <c r="D13" s="106">
        <v>38.7</v>
      </c>
      <c r="E13" s="106">
        <f t="shared" si="2"/>
        <v>0</v>
      </c>
      <c r="F13" s="78">
        <v>-9.6</v>
      </c>
      <c r="G13" s="78">
        <v>371.7</v>
      </c>
      <c r="H13" s="65">
        <v>2472.7</v>
      </c>
      <c r="I13" s="78">
        <v>60.8</v>
      </c>
      <c r="J13" s="78">
        <v>12.3</v>
      </c>
      <c r="K13" s="78">
        <v>0</v>
      </c>
      <c r="L13" s="78">
        <v>0</v>
      </c>
      <c r="M13" s="65">
        <f t="shared" si="0"/>
        <v>28.800000000001003</v>
      </c>
      <c r="N13" s="65">
        <v>10210.2</v>
      </c>
      <c r="O13" s="65">
        <v>10500</v>
      </c>
      <c r="P13" s="3">
        <f t="shared" si="1"/>
        <v>0.9724</v>
      </c>
      <c r="Q13" s="2">
        <v>7922.4</v>
      </c>
      <c r="R13" s="69">
        <v>0</v>
      </c>
      <c r="S13" s="65">
        <v>0</v>
      </c>
      <c r="T13" s="70">
        <v>0</v>
      </c>
      <c r="U13" s="111">
        <v>0</v>
      </c>
      <c r="V13" s="112"/>
      <c r="W13" s="68">
        <v>0</v>
      </c>
    </row>
    <row r="14" spans="1:23" ht="12.75">
      <c r="A14" s="10">
        <v>43511</v>
      </c>
      <c r="B14" s="65">
        <v>6093.96</v>
      </c>
      <c r="C14" s="70">
        <v>28.9</v>
      </c>
      <c r="D14" s="106">
        <v>28.9</v>
      </c>
      <c r="E14" s="106">
        <f t="shared" si="2"/>
        <v>0</v>
      </c>
      <c r="F14" s="78">
        <v>54.07</v>
      </c>
      <c r="G14" s="78">
        <v>573.53</v>
      </c>
      <c r="H14" s="65">
        <v>5055.86</v>
      </c>
      <c r="I14" s="78">
        <v>70.49</v>
      </c>
      <c r="J14" s="78">
        <v>6.8</v>
      </c>
      <c r="K14" s="78">
        <v>0</v>
      </c>
      <c r="L14" s="78">
        <v>0</v>
      </c>
      <c r="M14" s="65">
        <f t="shared" si="0"/>
        <v>20.390000000001205</v>
      </c>
      <c r="N14" s="65">
        <v>11904</v>
      </c>
      <c r="O14" s="65">
        <v>6600</v>
      </c>
      <c r="P14" s="3">
        <f t="shared" si="1"/>
        <v>1.8036363636363637</v>
      </c>
      <c r="Q14" s="2">
        <v>7922.4</v>
      </c>
      <c r="R14" s="69">
        <v>0</v>
      </c>
      <c r="S14" s="65">
        <v>0</v>
      </c>
      <c r="T14" s="74">
        <v>0</v>
      </c>
      <c r="U14" s="111">
        <v>0</v>
      </c>
      <c r="V14" s="112"/>
      <c r="W14" s="68">
        <f t="shared" si="3"/>
        <v>0</v>
      </c>
    </row>
    <row r="15" spans="1:23" ht="12.75">
      <c r="A15" s="10">
        <v>43514</v>
      </c>
      <c r="B15" s="65">
        <v>1946.5</v>
      </c>
      <c r="C15" s="66">
        <v>184.3</v>
      </c>
      <c r="D15" s="106">
        <v>184.3</v>
      </c>
      <c r="E15" s="106">
        <f t="shared" si="2"/>
        <v>0</v>
      </c>
      <c r="F15" s="81">
        <v>1.8</v>
      </c>
      <c r="G15" s="81">
        <v>432</v>
      </c>
      <c r="H15" s="82">
        <v>7940.9</v>
      </c>
      <c r="I15" s="81">
        <v>89.3</v>
      </c>
      <c r="J15" s="81">
        <v>17</v>
      </c>
      <c r="K15" s="81">
        <v>0</v>
      </c>
      <c r="L15" s="81">
        <v>0</v>
      </c>
      <c r="M15" s="65">
        <f t="shared" si="0"/>
        <v>54.70000000000182</v>
      </c>
      <c r="N15" s="65">
        <v>10666.5</v>
      </c>
      <c r="O15" s="72">
        <v>6800</v>
      </c>
      <c r="P15" s="3">
        <f>N15/O15</f>
        <v>1.5686029411764706</v>
      </c>
      <c r="Q15" s="2">
        <v>7922.4</v>
      </c>
      <c r="R15" s="69">
        <v>0</v>
      </c>
      <c r="S15" s="65">
        <v>0</v>
      </c>
      <c r="T15" s="74">
        <v>0</v>
      </c>
      <c r="U15" s="111">
        <v>0</v>
      </c>
      <c r="V15" s="112"/>
      <c r="W15" s="68">
        <f t="shared" si="3"/>
        <v>0</v>
      </c>
    </row>
    <row r="16" spans="1:23" ht="12.75">
      <c r="A16" s="10">
        <v>43515</v>
      </c>
      <c r="B16" s="65">
        <v>2829.2</v>
      </c>
      <c r="C16" s="70">
        <v>102.4</v>
      </c>
      <c r="D16" s="106">
        <v>102.4</v>
      </c>
      <c r="E16" s="106">
        <f t="shared" si="2"/>
        <v>0</v>
      </c>
      <c r="F16" s="78">
        <v>156.8</v>
      </c>
      <c r="G16" s="78">
        <v>690.1</v>
      </c>
      <c r="H16" s="65">
        <v>4841.6</v>
      </c>
      <c r="I16" s="78">
        <v>115.6</v>
      </c>
      <c r="J16" s="78">
        <v>8.8</v>
      </c>
      <c r="K16" s="78">
        <v>0</v>
      </c>
      <c r="L16" s="78">
        <v>0</v>
      </c>
      <c r="M16" s="65">
        <f t="shared" si="0"/>
        <v>17.99999999999964</v>
      </c>
      <c r="N16" s="65">
        <v>8762.5</v>
      </c>
      <c r="O16" s="72">
        <v>5490</v>
      </c>
      <c r="P16" s="3">
        <f t="shared" si="1"/>
        <v>1.5960837887067396</v>
      </c>
      <c r="Q16" s="2">
        <v>7922.4</v>
      </c>
      <c r="R16" s="69">
        <v>0</v>
      </c>
      <c r="S16" s="65">
        <v>0</v>
      </c>
      <c r="T16" s="74">
        <v>0</v>
      </c>
      <c r="U16" s="111">
        <v>0</v>
      </c>
      <c r="V16" s="112"/>
      <c r="W16" s="68">
        <f t="shared" si="3"/>
        <v>0</v>
      </c>
    </row>
    <row r="17" spans="1:23" ht="12.75">
      <c r="A17" s="10">
        <v>43516</v>
      </c>
      <c r="B17" s="65">
        <v>5365.5</v>
      </c>
      <c r="C17" s="70">
        <v>29.5</v>
      </c>
      <c r="D17" s="106">
        <v>29.5</v>
      </c>
      <c r="E17" s="106">
        <f t="shared" si="2"/>
        <v>0</v>
      </c>
      <c r="F17" s="78">
        <v>26.5</v>
      </c>
      <c r="G17" s="78">
        <v>704.4</v>
      </c>
      <c r="H17" s="65">
        <v>1068.4</v>
      </c>
      <c r="I17" s="78">
        <v>38</v>
      </c>
      <c r="J17" s="78">
        <v>8.9</v>
      </c>
      <c r="K17" s="78">
        <v>0</v>
      </c>
      <c r="L17" s="78">
        <v>0</v>
      </c>
      <c r="M17" s="65">
        <f t="shared" si="0"/>
        <v>13.499999999999636</v>
      </c>
      <c r="N17" s="65">
        <v>7254.7</v>
      </c>
      <c r="O17" s="65">
        <v>12100</v>
      </c>
      <c r="P17" s="3">
        <f t="shared" si="1"/>
        <v>0.5995619834710744</v>
      </c>
      <c r="Q17" s="2">
        <v>7922.4</v>
      </c>
      <c r="R17" s="69">
        <v>0</v>
      </c>
      <c r="S17" s="65">
        <v>0</v>
      </c>
      <c r="T17" s="74">
        <v>0</v>
      </c>
      <c r="U17" s="111">
        <v>0</v>
      </c>
      <c r="V17" s="112"/>
      <c r="W17" s="68">
        <f t="shared" si="3"/>
        <v>0</v>
      </c>
    </row>
    <row r="18" spans="1:23" ht="12.75">
      <c r="A18" s="10">
        <v>43517</v>
      </c>
      <c r="B18" s="65">
        <v>3373.4</v>
      </c>
      <c r="C18" s="70">
        <v>76.7</v>
      </c>
      <c r="D18" s="106">
        <v>76.7</v>
      </c>
      <c r="E18" s="106">
        <f t="shared" si="2"/>
        <v>0</v>
      </c>
      <c r="F18" s="78">
        <v>162.9</v>
      </c>
      <c r="G18" s="78">
        <v>394.7</v>
      </c>
      <c r="H18" s="65">
        <v>381.4</v>
      </c>
      <c r="I18" s="78">
        <v>137.8</v>
      </c>
      <c r="J18" s="78">
        <v>13.4</v>
      </c>
      <c r="K18" s="78">
        <v>0</v>
      </c>
      <c r="L18" s="78">
        <v>0</v>
      </c>
      <c r="M18" s="65">
        <f>N18-B18-C18-F18-G18-H18-I18-J18-K18-L18</f>
        <v>11.699999999999966</v>
      </c>
      <c r="N18" s="65">
        <v>4552</v>
      </c>
      <c r="O18" s="65">
        <v>4700</v>
      </c>
      <c r="P18" s="3">
        <f>N18/O18</f>
        <v>0.9685106382978723</v>
      </c>
      <c r="Q18" s="2">
        <v>7922.4</v>
      </c>
      <c r="R18" s="69">
        <v>0</v>
      </c>
      <c r="S18" s="65">
        <v>0</v>
      </c>
      <c r="T18" s="70">
        <v>0</v>
      </c>
      <c r="U18" s="111">
        <v>0</v>
      </c>
      <c r="V18" s="112"/>
      <c r="W18" s="68">
        <f t="shared" si="3"/>
        <v>0</v>
      </c>
    </row>
    <row r="19" spans="1:23" ht="12.75">
      <c r="A19" s="10">
        <v>43518</v>
      </c>
      <c r="B19" s="65">
        <v>9374.2</v>
      </c>
      <c r="C19" s="70">
        <v>94.9</v>
      </c>
      <c r="D19" s="106">
        <v>94.9</v>
      </c>
      <c r="E19" s="106">
        <f t="shared" si="2"/>
        <v>0</v>
      </c>
      <c r="F19" s="78">
        <v>27.1</v>
      </c>
      <c r="G19" s="78">
        <v>594.3</v>
      </c>
      <c r="H19" s="65">
        <v>301.5</v>
      </c>
      <c r="I19" s="78">
        <v>72.6</v>
      </c>
      <c r="J19" s="78">
        <v>21</v>
      </c>
      <c r="K19" s="78">
        <v>0</v>
      </c>
      <c r="L19" s="78">
        <v>0</v>
      </c>
      <c r="M19" s="65">
        <f>N19-B19-C19-F19-G19-H19-I19-J19-K19-L19</f>
        <v>31.299999999998846</v>
      </c>
      <c r="N19" s="65">
        <v>10516.9</v>
      </c>
      <c r="O19" s="65">
        <v>4600</v>
      </c>
      <c r="P19" s="3">
        <f t="shared" si="1"/>
        <v>2.286282608695652</v>
      </c>
      <c r="Q19" s="2">
        <v>7922.4</v>
      </c>
      <c r="R19" s="69">
        <v>0</v>
      </c>
      <c r="S19" s="65">
        <v>0</v>
      </c>
      <c r="T19" s="70">
        <v>0</v>
      </c>
      <c r="U19" s="111">
        <v>0</v>
      </c>
      <c r="V19" s="112"/>
      <c r="W19" s="68">
        <f t="shared" si="3"/>
        <v>0</v>
      </c>
    </row>
    <row r="20" spans="1:23" ht="12.75">
      <c r="A20" s="10">
        <v>43521</v>
      </c>
      <c r="B20" s="65">
        <v>1650.71</v>
      </c>
      <c r="C20" s="70">
        <v>814.56</v>
      </c>
      <c r="D20" s="106">
        <v>814.56</v>
      </c>
      <c r="E20" s="106">
        <f t="shared" si="2"/>
        <v>0</v>
      </c>
      <c r="F20" s="78">
        <v>71.22</v>
      </c>
      <c r="G20" s="65">
        <v>1102.53</v>
      </c>
      <c r="H20" s="65">
        <v>189.16</v>
      </c>
      <c r="I20" s="78">
        <v>86.92</v>
      </c>
      <c r="J20" s="78">
        <v>10.49</v>
      </c>
      <c r="K20" s="78">
        <v>0</v>
      </c>
      <c r="L20" s="78">
        <v>0</v>
      </c>
      <c r="M20" s="65">
        <f t="shared" si="0"/>
        <v>315.55000000000035</v>
      </c>
      <c r="N20" s="65">
        <v>4241.14</v>
      </c>
      <c r="O20" s="65">
        <v>5330</v>
      </c>
      <c r="P20" s="3">
        <f t="shared" si="1"/>
        <v>0.7957110694183865</v>
      </c>
      <c r="Q20" s="2">
        <v>7922.4</v>
      </c>
      <c r="R20" s="69">
        <v>0</v>
      </c>
      <c r="S20" s="65">
        <v>0</v>
      </c>
      <c r="T20" s="70">
        <v>85.9</v>
      </c>
      <c r="U20" s="111">
        <v>0</v>
      </c>
      <c r="V20" s="112"/>
      <c r="W20" s="68">
        <f t="shared" si="3"/>
        <v>85.9</v>
      </c>
    </row>
    <row r="21" spans="1:23" ht="12.75">
      <c r="A21" s="10">
        <v>43522</v>
      </c>
      <c r="B21" s="65">
        <v>1184.7</v>
      </c>
      <c r="C21" s="70">
        <v>1171.9</v>
      </c>
      <c r="D21" s="106">
        <v>1171.9</v>
      </c>
      <c r="E21" s="106">
        <f t="shared" si="2"/>
        <v>0</v>
      </c>
      <c r="F21" s="78">
        <v>182.5</v>
      </c>
      <c r="G21" s="65">
        <v>2150.4</v>
      </c>
      <c r="H21" s="65">
        <v>236.2</v>
      </c>
      <c r="I21" s="78">
        <v>5.1</v>
      </c>
      <c r="J21" s="78">
        <v>8.1</v>
      </c>
      <c r="K21" s="78">
        <v>0</v>
      </c>
      <c r="L21" s="78">
        <v>0</v>
      </c>
      <c r="M21" s="65">
        <f t="shared" si="0"/>
        <v>340.63999999999993</v>
      </c>
      <c r="N21" s="65">
        <v>5279.54</v>
      </c>
      <c r="O21" s="65">
        <v>8800</v>
      </c>
      <c r="P21" s="3">
        <f t="shared" si="1"/>
        <v>0.5999477272727273</v>
      </c>
      <c r="Q21" s="2">
        <v>7922.4</v>
      </c>
      <c r="R21" s="102">
        <v>14.6</v>
      </c>
      <c r="S21" s="103">
        <v>0</v>
      </c>
      <c r="T21" s="104">
        <v>0</v>
      </c>
      <c r="U21" s="111">
        <v>0</v>
      </c>
      <c r="V21" s="112"/>
      <c r="W21" s="68">
        <f t="shared" si="3"/>
        <v>14.6</v>
      </c>
    </row>
    <row r="22" spans="1:23" ht="12.75">
      <c r="A22" s="10">
        <v>43523</v>
      </c>
      <c r="B22" s="65">
        <v>7180.8</v>
      </c>
      <c r="C22" s="70">
        <v>1208.6</v>
      </c>
      <c r="D22" s="106">
        <v>1208.6</v>
      </c>
      <c r="E22" s="106">
        <f t="shared" si="2"/>
        <v>0</v>
      </c>
      <c r="F22" s="78">
        <v>119.9</v>
      </c>
      <c r="G22" s="65">
        <v>1791.9</v>
      </c>
      <c r="H22" s="65">
        <v>435.3</v>
      </c>
      <c r="I22" s="78">
        <v>115.8</v>
      </c>
      <c r="J22" s="78">
        <v>25.5</v>
      </c>
      <c r="K22" s="78">
        <v>0</v>
      </c>
      <c r="L22" s="78">
        <v>0</v>
      </c>
      <c r="M22" s="65">
        <f t="shared" si="0"/>
        <v>221.99999999999898</v>
      </c>
      <c r="N22" s="65">
        <v>11099.8</v>
      </c>
      <c r="O22" s="65">
        <v>17500</v>
      </c>
      <c r="P22" s="3">
        <f t="shared" si="1"/>
        <v>0.6342742857142857</v>
      </c>
      <c r="Q22" s="2">
        <v>7922.4</v>
      </c>
      <c r="R22" s="102">
        <v>0</v>
      </c>
      <c r="S22" s="103">
        <v>0</v>
      </c>
      <c r="T22" s="104">
        <v>13.1</v>
      </c>
      <c r="U22" s="111">
        <v>0</v>
      </c>
      <c r="V22" s="112"/>
      <c r="W22" s="68">
        <f t="shared" si="3"/>
        <v>13.1</v>
      </c>
    </row>
    <row r="23" spans="1:23" ht="13.5" thickBot="1">
      <c r="A23" s="10">
        <v>43524</v>
      </c>
      <c r="B23" s="65">
        <v>11979.5</v>
      </c>
      <c r="C23" s="74">
        <v>501.4</v>
      </c>
      <c r="D23" s="106">
        <v>501.4</v>
      </c>
      <c r="E23" s="106">
        <f t="shared" si="2"/>
        <v>0</v>
      </c>
      <c r="F23" s="78">
        <v>62.6</v>
      </c>
      <c r="G23" s="65">
        <v>1591.2</v>
      </c>
      <c r="H23" s="65">
        <v>1057.4</v>
      </c>
      <c r="I23" s="78">
        <v>26.2</v>
      </c>
      <c r="J23" s="78">
        <v>28.6</v>
      </c>
      <c r="K23" s="78">
        <v>0</v>
      </c>
      <c r="L23" s="78">
        <v>0</v>
      </c>
      <c r="M23" s="65">
        <f t="shared" si="0"/>
        <v>85.89999999999912</v>
      </c>
      <c r="N23" s="65">
        <v>15332.8</v>
      </c>
      <c r="O23" s="65">
        <v>15600</v>
      </c>
      <c r="P23" s="3">
        <f t="shared" si="1"/>
        <v>0.9828717948717949</v>
      </c>
      <c r="Q23" s="2">
        <v>7922.4</v>
      </c>
      <c r="R23" s="98">
        <v>0</v>
      </c>
      <c r="S23" s="99">
        <v>0</v>
      </c>
      <c r="T23" s="100">
        <v>0</v>
      </c>
      <c r="U23" s="126">
        <v>0</v>
      </c>
      <c r="V23" s="127"/>
      <c r="W23" s="101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93221.59000000001</v>
      </c>
      <c r="C24" s="85">
        <f t="shared" si="4"/>
        <v>4470.849999999999</v>
      </c>
      <c r="D24" s="107">
        <f t="shared" si="4"/>
        <v>4470.849999999999</v>
      </c>
      <c r="E24" s="107">
        <f t="shared" si="4"/>
        <v>0</v>
      </c>
      <c r="F24" s="85">
        <f t="shared" si="4"/>
        <v>913.09</v>
      </c>
      <c r="G24" s="85">
        <f t="shared" si="4"/>
        <v>12142.36</v>
      </c>
      <c r="H24" s="85">
        <f t="shared" si="4"/>
        <v>43179.920000000006</v>
      </c>
      <c r="I24" s="85">
        <f t="shared" si="4"/>
        <v>1380.3099999999997</v>
      </c>
      <c r="J24" s="85">
        <f t="shared" si="4"/>
        <v>501.89000000000004</v>
      </c>
      <c r="K24" s="85">
        <f t="shared" si="4"/>
        <v>624.3</v>
      </c>
      <c r="L24" s="85">
        <f t="shared" si="4"/>
        <v>669.9</v>
      </c>
      <c r="M24" s="84">
        <f t="shared" si="4"/>
        <v>1343.7700000000013</v>
      </c>
      <c r="N24" s="84">
        <f t="shared" si="4"/>
        <v>158447.97999999998</v>
      </c>
      <c r="O24" s="84">
        <f t="shared" si="4"/>
        <v>157520</v>
      </c>
      <c r="P24" s="86">
        <f>N24/O24</f>
        <v>1.005891188420518</v>
      </c>
      <c r="Q24" s="2"/>
      <c r="R24" s="75">
        <f>SUM(R4:R23)</f>
        <v>51.7</v>
      </c>
      <c r="S24" s="75">
        <f>SUM(S4:S23)</f>
        <v>0</v>
      </c>
      <c r="T24" s="75">
        <f>SUM(T4:T23)</f>
        <v>1251.94</v>
      </c>
      <c r="U24" s="128">
        <f>SUM(U4:U23)</f>
        <v>1</v>
      </c>
      <c r="V24" s="129"/>
      <c r="W24" s="75">
        <f>R24+S24+U24+T24+V24</f>
        <v>1304.64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16" t="s">
        <v>33</v>
      </c>
      <c r="S27" s="116"/>
      <c r="T27" s="116"/>
      <c r="U27" s="116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30" t="s">
        <v>29</v>
      </c>
      <c r="S28" s="130"/>
      <c r="T28" s="130"/>
      <c r="U28" s="130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18">
        <v>43525</v>
      </c>
      <c r="S29" s="131">
        <v>9306.368960000002</v>
      </c>
      <c r="T29" s="131"/>
      <c r="U29" s="131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19"/>
      <c r="S30" s="131"/>
      <c r="T30" s="131"/>
      <c r="U30" s="131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13" t="s">
        <v>45</v>
      </c>
      <c r="T32" s="114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15" t="s">
        <v>40</v>
      </c>
      <c r="T33" s="115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16" t="s">
        <v>30</v>
      </c>
      <c r="S37" s="116"/>
      <c r="T37" s="116"/>
      <c r="U37" s="116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17" t="s">
        <v>31</v>
      </c>
      <c r="S38" s="117"/>
      <c r="T38" s="117"/>
      <c r="U38" s="117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18">
        <v>43525</v>
      </c>
      <c r="S39" s="120">
        <v>28314.82936</v>
      </c>
      <c r="T39" s="121"/>
      <c r="U39" s="122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19"/>
      <c r="S40" s="123"/>
      <c r="T40" s="124"/>
      <c r="U40" s="125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16:V16"/>
    <mergeCell ref="U5:V5"/>
    <mergeCell ref="U6:V6"/>
    <mergeCell ref="U7:V7"/>
    <mergeCell ref="U8:V8"/>
    <mergeCell ref="U9:V9"/>
    <mergeCell ref="U10:V10"/>
    <mergeCell ref="U17:V17"/>
    <mergeCell ref="U18:V18"/>
    <mergeCell ref="U19:V19"/>
    <mergeCell ref="U20:V20"/>
    <mergeCell ref="U21:V21"/>
    <mergeCell ref="U11:V11"/>
    <mergeCell ref="U12:V12"/>
    <mergeCell ref="U13:V13"/>
    <mergeCell ref="U14:V14"/>
    <mergeCell ref="U15:V15"/>
    <mergeCell ref="U22:V22"/>
    <mergeCell ref="U23:V23"/>
    <mergeCell ref="U24:V24"/>
    <mergeCell ref="R27:U27"/>
    <mergeCell ref="R28:U28"/>
    <mergeCell ref="R29:R30"/>
    <mergeCell ref="S29:U30"/>
    <mergeCell ref="S32:T32"/>
    <mergeCell ref="S33:T33"/>
    <mergeCell ref="R37:U37"/>
    <mergeCell ref="R38:U38"/>
    <mergeCell ref="R39:R40"/>
    <mergeCell ref="S39:U4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2" sqref="S42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30" customHeight="1">
      <c r="A1" s="134" t="s">
        <v>79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6"/>
      <c r="Q1" s="1"/>
      <c r="R1" s="137" t="s">
        <v>81</v>
      </c>
      <c r="S1" s="138"/>
      <c r="T1" s="138"/>
      <c r="U1" s="138"/>
      <c r="V1" s="138"/>
      <c r="W1" s="139"/>
    </row>
    <row r="2" spans="1:23" ht="15" thickBot="1">
      <c r="A2" s="140" t="s">
        <v>83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2"/>
      <c r="Q2" s="1"/>
      <c r="R2" s="143" t="s">
        <v>84</v>
      </c>
      <c r="S2" s="144"/>
      <c r="T2" s="144"/>
      <c r="U2" s="144"/>
      <c r="V2" s="144"/>
      <c r="W2" s="145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82</v>
      </c>
      <c r="K3" s="22" t="s">
        <v>4</v>
      </c>
      <c r="L3" s="22" t="s">
        <v>57</v>
      </c>
      <c r="M3" s="29" t="s">
        <v>5</v>
      </c>
      <c r="N3" s="29" t="s">
        <v>80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46" t="s">
        <v>47</v>
      </c>
      <c r="V3" s="147"/>
      <c r="W3" s="93" t="s">
        <v>27</v>
      </c>
    </row>
    <row r="4" spans="1:23" ht="12.75">
      <c r="A4" s="108">
        <v>43525</v>
      </c>
      <c r="B4" s="65">
        <v>1227.1</v>
      </c>
      <c r="C4" s="79">
        <v>124.2</v>
      </c>
      <c r="D4" s="106">
        <v>124.2</v>
      </c>
      <c r="E4" s="106">
        <f>C4-D4</f>
        <v>0</v>
      </c>
      <c r="F4" s="65">
        <v>52.85</v>
      </c>
      <c r="G4" s="65">
        <v>2774.3</v>
      </c>
      <c r="H4" s="67">
        <v>373</v>
      </c>
      <c r="I4" s="78">
        <v>93.7</v>
      </c>
      <c r="J4" s="78">
        <v>14.2</v>
      </c>
      <c r="K4" s="78">
        <v>0</v>
      </c>
      <c r="L4" s="65">
        <v>1257.4</v>
      </c>
      <c r="M4" s="65">
        <f aca="true" t="shared" si="0" ref="M4:M23">N4-B4-C4-F4-G4-H4-I4-J4-K4-L4</f>
        <v>108.74999999999909</v>
      </c>
      <c r="N4" s="65">
        <v>6025.5</v>
      </c>
      <c r="O4" s="65">
        <v>6000</v>
      </c>
      <c r="P4" s="3">
        <f aca="true" t="shared" si="1" ref="P4:P23">N4/O4</f>
        <v>1.00425</v>
      </c>
      <c r="Q4" s="2">
        <f>AVERAGE(N4:N23)</f>
        <v>6516.261</v>
      </c>
      <c r="R4" s="94">
        <v>0</v>
      </c>
      <c r="S4" s="95">
        <v>0</v>
      </c>
      <c r="T4" s="96">
        <v>0</v>
      </c>
      <c r="U4" s="148">
        <v>0</v>
      </c>
      <c r="V4" s="149"/>
      <c r="W4" s="97">
        <f>R4+S4+U4+T4+V4</f>
        <v>0</v>
      </c>
    </row>
    <row r="5" spans="1:23" ht="12.75">
      <c r="A5" s="10">
        <v>43528</v>
      </c>
      <c r="B5" s="65">
        <v>1997.8</v>
      </c>
      <c r="C5" s="79">
        <v>10.4</v>
      </c>
      <c r="D5" s="106">
        <v>10.4</v>
      </c>
      <c r="E5" s="106">
        <f aca="true" t="shared" si="2" ref="E5:E23">C5-D5</f>
        <v>0</v>
      </c>
      <c r="F5" s="65">
        <v>55.3</v>
      </c>
      <c r="G5" s="65">
        <v>217.9</v>
      </c>
      <c r="H5" s="79">
        <v>643</v>
      </c>
      <c r="I5" s="78">
        <v>58.4</v>
      </c>
      <c r="J5" s="78">
        <v>11.6</v>
      </c>
      <c r="K5" s="78">
        <v>0</v>
      </c>
      <c r="L5" s="65">
        <v>0</v>
      </c>
      <c r="M5" s="65">
        <f t="shared" si="0"/>
        <v>118.9000000000002</v>
      </c>
      <c r="N5" s="65">
        <v>3113.3</v>
      </c>
      <c r="O5" s="65">
        <v>3000</v>
      </c>
      <c r="P5" s="3">
        <f t="shared" si="1"/>
        <v>1.0377666666666667</v>
      </c>
      <c r="Q5" s="2">
        <v>6516.3</v>
      </c>
      <c r="R5" s="69">
        <v>0</v>
      </c>
      <c r="S5" s="65">
        <v>0</v>
      </c>
      <c r="T5" s="70">
        <v>0</v>
      </c>
      <c r="U5" s="111">
        <v>0</v>
      </c>
      <c r="V5" s="112"/>
      <c r="W5" s="68">
        <f aca="true" t="shared" si="3" ref="W5:W23">R5+S5+U5+T5+V5</f>
        <v>0</v>
      </c>
    </row>
    <row r="6" spans="1:23" ht="12.75">
      <c r="A6" s="10">
        <v>43529</v>
      </c>
      <c r="B6" s="65">
        <v>4755.2</v>
      </c>
      <c r="C6" s="79">
        <v>18.5</v>
      </c>
      <c r="D6" s="106">
        <v>18.5</v>
      </c>
      <c r="E6" s="106">
        <f t="shared" si="2"/>
        <v>0</v>
      </c>
      <c r="F6" s="72">
        <v>26.8</v>
      </c>
      <c r="G6" s="65">
        <v>229</v>
      </c>
      <c r="H6" s="80">
        <v>619.7</v>
      </c>
      <c r="I6" s="78">
        <v>105.2</v>
      </c>
      <c r="J6" s="78">
        <v>71.4</v>
      </c>
      <c r="K6" s="78">
        <v>0</v>
      </c>
      <c r="L6" s="78">
        <v>0</v>
      </c>
      <c r="M6" s="65">
        <f t="shared" si="0"/>
        <v>39.89999999999999</v>
      </c>
      <c r="N6" s="65">
        <v>5865.7</v>
      </c>
      <c r="O6" s="65">
        <v>5100</v>
      </c>
      <c r="P6" s="3">
        <f t="shared" si="1"/>
        <v>1.1501372549019608</v>
      </c>
      <c r="Q6" s="2">
        <v>6516.3</v>
      </c>
      <c r="R6" s="71">
        <v>11.83</v>
      </c>
      <c r="S6" s="72">
        <v>0</v>
      </c>
      <c r="T6" s="73">
        <v>0</v>
      </c>
      <c r="U6" s="132">
        <v>0</v>
      </c>
      <c r="V6" s="133"/>
      <c r="W6" s="68">
        <f t="shared" si="3"/>
        <v>11.83</v>
      </c>
    </row>
    <row r="7" spans="1:23" ht="12.75">
      <c r="A7" s="10">
        <v>43530</v>
      </c>
      <c r="B7" s="77">
        <v>5872.7</v>
      </c>
      <c r="C7" s="79">
        <v>8.5</v>
      </c>
      <c r="D7" s="106">
        <v>8.5</v>
      </c>
      <c r="E7" s="106">
        <f t="shared" si="2"/>
        <v>0</v>
      </c>
      <c r="F7" s="65">
        <v>10.7</v>
      </c>
      <c r="G7" s="65">
        <v>169.9</v>
      </c>
      <c r="H7" s="79">
        <v>376.6</v>
      </c>
      <c r="I7" s="78">
        <v>95.4</v>
      </c>
      <c r="J7" s="78">
        <v>53.8</v>
      </c>
      <c r="K7" s="78">
        <v>734.1</v>
      </c>
      <c r="L7" s="78">
        <v>0</v>
      </c>
      <c r="M7" s="65">
        <f t="shared" si="0"/>
        <v>223.10000000000014</v>
      </c>
      <c r="N7" s="65">
        <v>7544.8</v>
      </c>
      <c r="O7" s="65">
        <v>8000</v>
      </c>
      <c r="P7" s="3">
        <f t="shared" si="1"/>
        <v>0.9431</v>
      </c>
      <c r="Q7" s="2">
        <v>6516.3</v>
      </c>
      <c r="R7" s="71">
        <v>0</v>
      </c>
      <c r="S7" s="72">
        <v>0</v>
      </c>
      <c r="T7" s="73">
        <v>0</v>
      </c>
      <c r="U7" s="132">
        <v>1</v>
      </c>
      <c r="V7" s="133"/>
      <c r="W7" s="68">
        <f t="shared" si="3"/>
        <v>1</v>
      </c>
    </row>
    <row r="8" spans="1:23" ht="12.75">
      <c r="A8" s="10">
        <v>43531</v>
      </c>
      <c r="B8" s="65">
        <v>14014.6</v>
      </c>
      <c r="C8" s="70">
        <v>14.7</v>
      </c>
      <c r="D8" s="106">
        <v>14.7</v>
      </c>
      <c r="E8" s="106">
        <f t="shared" si="2"/>
        <v>0</v>
      </c>
      <c r="F8" s="78">
        <v>35.2</v>
      </c>
      <c r="G8" s="78">
        <v>199.9</v>
      </c>
      <c r="H8" s="65">
        <v>396.5</v>
      </c>
      <c r="I8" s="78">
        <v>31.5</v>
      </c>
      <c r="J8" s="78">
        <v>59.5</v>
      </c>
      <c r="K8" s="78">
        <v>0</v>
      </c>
      <c r="L8" s="78">
        <v>0</v>
      </c>
      <c r="M8" s="65">
        <f t="shared" si="0"/>
        <v>58.19999999999993</v>
      </c>
      <c r="N8" s="65">
        <v>14810.1</v>
      </c>
      <c r="O8" s="65">
        <v>15200</v>
      </c>
      <c r="P8" s="3">
        <f t="shared" si="1"/>
        <v>0.9743486842105263</v>
      </c>
      <c r="Q8" s="2">
        <v>6516.3</v>
      </c>
      <c r="R8" s="71">
        <v>0</v>
      </c>
      <c r="S8" s="72">
        <v>0</v>
      </c>
      <c r="T8" s="70">
        <v>0</v>
      </c>
      <c r="U8" s="111">
        <v>0</v>
      </c>
      <c r="V8" s="112"/>
      <c r="W8" s="68">
        <f t="shared" si="3"/>
        <v>0</v>
      </c>
    </row>
    <row r="9" spans="1:23" ht="12.75">
      <c r="A9" s="10">
        <v>43535</v>
      </c>
      <c r="B9" s="65">
        <v>865.2</v>
      </c>
      <c r="C9" s="70">
        <v>167.2</v>
      </c>
      <c r="D9" s="106">
        <v>167.2</v>
      </c>
      <c r="E9" s="106">
        <f t="shared" si="2"/>
        <v>0</v>
      </c>
      <c r="F9" s="78">
        <v>7.2</v>
      </c>
      <c r="G9" s="82">
        <v>136.4</v>
      </c>
      <c r="H9" s="65">
        <v>516</v>
      </c>
      <c r="I9" s="78">
        <v>95.9</v>
      </c>
      <c r="J9" s="78">
        <v>17.6</v>
      </c>
      <c r="K9" s="78">
        <v>1.1</v>
      </c>
      <c r="L9" s="78">
        <v>0</v>
      </c>
      <c r="M9" s="65">
        <f t="shared" si="0"/>
        <v>11.099999999999925</v>
      </c>
      <c r="N9" s="65">
        <v>1817.7</v>
      </c>
      <c r="O9" s="65">
        <v>2800</v>
      </c>
      <c r="P9" s="3">
        <f t="shared" si="1"/>
        <v>0.6491785714285715</v>
      </c>
      <c r="Q9" s="2">
        <v>6516.3</v>
      </c>
      <c r="R9" s="71">
        <v>0</v>
      </c>
      <c r="S9" s="72">
        <v>0</v>
      </c>
      <c r="T9" s="70">
        <v>32.6</v>
      </c>
      <c r="U9" s="111">
        <v>0</v>
      </c>
      <c r="V9" s="112"/>
      <c r="W9" s="68">
        <f t="shared" si="3"/>
        <v>32.6</v>
      </c>
    </row>
    <row r="10" spans="1:23" ht="12.75">
      <c r="A10" s="10">
        <v>43536</v>
      </c>
      <c r="B10" s="65">
        <v>1152.5</v>
      </c>
      <c r="C10" s="70">
        <v>10.7</v>
      </c>
      <c r="D10" s="106">
        <v>10.7</v>
      </c>
      <c r="E10" s="106">
        <f t="shared" si="2"/>
        <v>0</v>
      </c>
      <c r="F10" s="78">
        <v>10.8</v>
      </c>
      <c r="G10" s="78">
        <v>301.2</v>
      </c>
      <c r="H10" s="65">
        <v>513.2</v>
      </c>
      <c r="I10" s="78">
        <v>9.8</v>
      </c>
      <c r="J10" s="78">
        <v>21.85</v>
      </c>
      <c r="K10" s="78">
        <v>0</v>
      </c>
      <c r="L10" s="78">
        <v>0</v>
      </c>
      <c r="M10" s="65">
        <f t="shared" si="0"/>
        <v>43.389999999999965</v>
      </c>
      <c r="N10" s="65">
        <v>2063.44</v>
      </c>
      <c r="O10" s="72">
        <v>3200</v>
      </c>
      <c r="P10" s="3">
        <f t="shared" si="1"/>
        <v>0.644825</v>
      </c>
      <c r="Q10" s="2">
        <v>6516.3</v>
      </c>
      <c r="R10" s="71">
        <v>0</v>
      </c>
      <c r="S10" s="72">
        <v>0</v>
      </c>
      <c r="T10" s="70">
        <v>0</v>
      </c>
      <c r="U10" s="111">
        <v>0</v>
      </c>
      <c r="V10" s="112"/>
      <c r="W10" s="68">
        <f>R10+S10+U10+T10+V10</f>
        <v>0</v>
      </c>
    </row>
    <row r="11" spans="1:23" ht="12.75">
      <c r="A11" s="10">
        <v>43537</v>
      </c>
      <c r="B11" s="65">
        <v>2087.4</v>
      </c>
      <c r="C11" s="70">
        <v>28.9</v>
      </c>
      <c r="D11" s="106">
        <v>28.9</v>
      </c>
      <c r="E11" s="106">
        <f t="shared" si="2"/>
        <v>0</v>
      </c>
      <c r="F11" s="78">
        <v>7.5</v>
      </c>
      <c r="G11" s="78">
        <v>230.2</v>
      </c>
      <c r="H11" s="65">
        <v>374.3</v>
      </c>
      <c r="I11" s="78">
        <v>171</v>
      </c>
      <c r="J11" s="78">
        <v>22</v>
      </c>
      <c r="K11" s="78">
        <v>0</v>
      </c>
      <c r="L11" s="78">
        <v>0</v>
      </c>
      <c r="M11" s="65">
        <f t="shared" si="0"/>
        <v>30.899999999999807</v>
      </c>
      <c r="N11" s="65">
        <v>2952.2</v>
      </c>
      <c r="O11" s="65">
        <v>4900</v>
      </c>
      <c r="P11" s="3">
        <f t="shared" si="1"/>
        <v>0.6024897959183673</v>
      </c>
      <c r="Q11" s="2">
        <v>6516.3</v>
      </c>
      <c r="R11" s="69">
        <v>0</v>
      </c>
      <c r="S11" s="65">
        <v>0</v>
      </c>
      <c r="T11" s="70">
        <v>0</v>
      </c>
      <c r="U11" s="111">
        <v>0</v>
      </c>
      <c r="V11" s="112"/>
      <c r="W11" s="68">
        <f t="shared" si="3"/>
        <v>0</v>
      </c>
    </row>
    <row r="12" spans="1:23" ht="12.75">
      <c r="A12" s="10">
        <v>43538</v>
      </c>
      <c r="B12" s="77">
        <v>2896.3</v>
      </c>
      <c r="C12" s="70">
        <v>49.8</v>
      </c>
      <c r="D12" s="106">
        <v>49.8</v>
      </c>
      <c r="E12" s="106">
        <f t="shared" si="2"/>
        <v>0</v>
      </c>
      <c r="F12" s="78">
        <v>51.3</v>
      </c>
      <c r="G12" s="78">
        <v>348.4</v>
      </c>
      <c r="H12" s="65">
        <v>444</v>
      </c>
      <c r="I12" s="78">
        <v>11.7</v>
      </c>
      <c r="J12" s="78">
        <v>7.2</v>
      </c>
      <c r="K12" s="78">
        <v>0</v>
      </c>
      <c r="L12" s="78">
        <v>0</v>
      </c>
      <c r="M12" s="65">
        <f t="shared" si="0"/>
        <v>18.299999999999933</v>
      </c>
      <c r="N12" s="65">
        <v>3827</v>
      </c>
      <c r="O12" s="65">
        <v>4800</v>
      </c>
      <c r="P12" s="3">
        <f t="shared" si="1"/>
        <v>0.7972916666666666</v>
      </c>
      <c r="Q12" s="2">
        <v>6516.3</v>
      </c>
      <c r="R12" s="69">
        <v>0</v>
      </c>
      <c r="S12" s="65">
        <v>0</v>
      </c>
      <c r="T12" s="70">
        <v>0</v>
      </c>
      <c r="U12" s="111">
        <v>0</v>
      </c>
      <c r="V12" s="112"/>
      <c r="W12" s="68">
        <f t="shared" si="3"/>
        <v>0</v>
      </c>
    </row>
    <row r="13" spans="1:23" ht="12.75">
      <c r="A13" s="10">
        <v>43539</v>
      </c>
      <c r="B13" s="65">
        <v>10066.2</v>
      </c>
      <c r="C13" s="70">
        <v>15</v>
      </c>
      <c r="D13" s="106">
        <v>15</v>
      </c>
      <c r="E13" s="106">
        <f t="shared" si="2"/>
        <v>0</v>
      </c>
      <c r="F13" s="78">
        <v>10.1</v>
      </c>
      <c r="G13" s="78">
        <v>217.9</v>
      </c>
      <c r="H13" s="65">
        <v>969.5</v>
      </c>
      <c r="I13" s="78">
        <v>55.1</v>
      </c>
      <c r="J13" s="78">
        <v>12.1</v>
      </c>
      <c r="K13" s="78">
        <v>0</v>
      </c>
      <c r="L13" s="78">
        <v>0</v>
      </c>
      <c r="M13" s="65">
        <f t="shared" si="0"/>
        <v>29.399999999998542</v>
      </c>
      <c r="N13" s="65">
        <v>11375.3</v>
      </c>
      <c r="O13" s="65">
        <v>12500</v>
      </c>
      <c r="P13" s="3">
        <f t="shared" si="1"/>
        <v>0.9100239999999999</v>
      </c>
      <c r="Q13" s="2">
        <v>6516.3</v>
      </c>
      <c r="R13" s="69">
        <v>0</v>
      </c>
      <c r="S13" s="65">
        <v>0</v>
      </c>
      <c r="T13" s="70">
        <v>0</v>
      </c>
      <c r="U13" s="111">
        <v>0</v>
      </c>
      <c r="V13" s="112"/>
      <c r="W13" s="68">
        <v>0</v>
      </c>
    </row>
    <row r="14" spans="1:23" ht="12.75">
      <c r="A14" s="10">
        <v>43542</v>
      </c>
      <c r="B14" s="65">
        <v>1686.5</v>
      </c>
      <c r="C14" s="70">
        <v>38</v>
      </c>
      <c r="D14" s="106">
        <v>38</v>
      </c>
      <c r="E14" s="106">
        <f t="shared" si="2"/>
        <v>0</v>
      </c>
      <c r="F14" s="78">
        <v>8.8</v>
      </c>
      <c r="G14" s="78">
        <v>398.5</v>
      </c>
      <c r="H14" s="65">
        <v>1240.4</v>
      </c>
      <c r="I14" s="78">
        <v>57.7</v>
      </c>
      <c r="J14" s="78">
        <v>9.2</v>
      </c>
      <c r="K14" s="78">
        <v>0</v>
      </c>
      <c r="L14" s="78">
        <v>0</v>
      </c>
      <c r="M14" s="65">
        <f t="shared" si="0"/>
        <v>21.87999999999997</v>
      </c>
      <c r="N14" s="65">
        <v>3460.98</v>
      </c>
      <c r="O14" s="65">
        <v>6600</v>
      </c>
      <c r="P14" s="3">
        <f t="shared" si="1"/>
        <v>0.5243909090909091</v>
      </c>
      <c r="Q14" s="2">
        <v>6516.3</v>
      </c>
      <c r="R14" s="69">
        <v>0</v>
      </c>
      <c r="S14" s="65">
        <v>0</v>
      </c>
      <c r="T14" s="74">
        <v>0.74</v>
      </c>
      <c r="U14" s="111">
        <v>0</v>
      </c>
      <c r="V14" s="112"/>
      <c r="W14" s="68">
        <f t="shared" si="3"/>
        <v>0.74</v>
      </c>
    </row>
    <row r="15" spans="1:23" ht="12.75">
      <c r="A15" s="10">
        <v>43543</v>
      </c>
      <c r="B15" s="65">
        <v>1962.1</v>
      </c>
      <c r="C15" s="66">
        <v>73.5</v>
      </c>
      <c r="D15" s="106">
        <v>73.5</v>
      </c>
      <c r="E15" s="106">
        <f t="shared" si="2"/>
        <v>0</v>
      </c>
      <c r="F15" s="81">
        <v>10.4</v>
      </c>
      <c r="G15" s="81">
        <v>364.83</v>
      </c>
      <c r="H15" s="82">
        <v>928.05</v>
      </c>
      <c r="I15" s="81">
        <v>93.95</v>
      </c>
      <c r="J15" s="81">
        <v>14.5</v>
      </c>
      <c r="K15" s="81">
        <v>0</v>
      </c>
      <c r="L15" s="81">
        <v>0</v>
      </c>
      <c r="M15" s="65">
        <f t="shared" si="0"/>
        <v>12.869999999999933</v>
      </c>
      <c r="N15" s="65">
        <v>3460.2</v>
      </c>
      <c r="O15" s="72">
        <v>6800</v>
      </c>
      <c r="P15" s="3">
        <f>N15/O15</f>
        <v>0.5088529411764705</v>
      </c>
      <c r="Q15" s="2">
        <v>6516.3</v>
      </c>
      <c r="R15" s="69">
        <v>0</v>
      </c>
      <c r="S15" s="65">
        <v>0</v>
      </c>
      <c r="T15" s="74">
        <v>0.74</v>
      </c>
      <c r="U15" s="111">
        <v>0</v>
      </c>
      <c r="V15" s="112"/>
      <c r="W15" s="68">
        <f t="shared" si="3"/>
        <v>0.74</v>
      </c>
    </row>
    <row r="16" spans="1:23" ht="12.75">
      <c r="A16" s="10">
        <v>43544</v>
      </c>
      <c r="B16" s="65">
        <v>5811.2</v>
      </c>
      <c r="C16" s="70">
        <v>56.8</v>
      </c>
      <c r="D16" s="106">
        <v>56.8</v>
      </c>
      <c r="E16" s="106">
        <f t="shared" si="2"/>
        <v>0</v>
      </c>
      <c r="F16" s="78">
        <v>18.2</v>
      </c>
      <c r="G16" s="78">
        <v>448.1</v>
      </c>
      <c r="H16" s="65">
        <v>410.7</v>
      </c>
      <c r="I16" s="78">
        <v>60.1</v>
      </c>
      <c r="J16" s="78">
        <v>6</v>
      </c>
      <c r="K16" s="78">
        <v>0</v>
      </c>
      <c r="L16" s="78">
        <v>0</v>
      </c>
      <c r="M16" s="65">
        <f t="shared" si="0"/>
        <v>19.500000000000533</v>
      </c>
      <c r="N16" s="65">
        <v>6830.6</v>
      </c>
      <c r="O16" s="72">
        <v>6450</v>
      </c>
      <c r="P16" s="3">
        <f t="shared" si="1"/>
        <v>1.0590077519379846</v>
      </c>
      <c r="Q16" s="2">
        <v>6516.3</v>
      </c>
      <c r="R16" s="69">
        <v>0</v>
      </c>
      <c r="S16" s="65">
        <v>0</v>
      </c>
      <c r="T16" s="74">
        <v>2.1</v>
      </c>
      <c r="U16" s="111">
        <v>0</v>
      </c>
      <c r="V16" s="112"/>
      <c r="W16" s="68">
        <f t="shared" si="3"/>
        <v>2.1</v>
      </c>
    </row>
    <row r="17" spans="1:23" ht="12.75">
      <c r="A17" s="10">
        <v>43545</v>
      </c>
      <c r="B17" s="65">
        <v>4444.7</v>
      </c>
      <c r="C17" s="70">
        <v>41.2</v>
      </c>
      <c r="D17" s="106">
        <v>41.2</v>
      </c>
      <c r="E17" s="106">
        <f t="shared" si="2"/>
        <v>0</v>
      </c>
      <c r="F17" s="78">
        <v>35.7</v>
      </c>
      <c r="G17" s="78">
        <v>708.1</v>
      </c>
      <c r="H17" s="65">
        <v>793.9</v>
      </c>
      <c r="I17" s="78">
        <v>123.9</v>
      </c>
      <c r="J17" s="78">
        <v>2</v>
      </c>
      <c r="K17" s="78">
        <v>0</v>
      </c>
      <c r="L17" s="78">
        <v>0</v>
      </c>
      <c r="M17" s="65">
        <f t="shared" si="0"/>
        <v>17.10000000000045</v>
      </c>
      <c r="N17" s="65">
        <v>6166.6</v>
      </c>
      <c r="O17" s="65">
        <v>12100</v>
      </c>
      <c r="P17" s="3">
        <f t="shared" si="1"/>
        <v>0.5096363636363637</v>
      </c>
      <c r="Q17" s="2">
        <v>6516.3</v>
      </c>
      <c r="R17" s="69">
        <v>0</v>
      </c>
      <c r="S17" s="65">
        <v>0</v>
      </c>
      <c r="T17" s="74">
        <v>0</v>
      </c>
      <c r="U17" s="111">
        <v>0</v>
      </c>
      <c r="V17" s="112"/>
      <c r="W17" s="68">
        <f t="shared" si="3"/>
        <v>0</v>
      </c>
    </row>
    <row r="18" spans="1:23" ht="12.75">
      <c r="A18" s="10">
        <v>43546</v>
      </c>
      <c r="B18" s="65">
        <v>8223</v>
      </c>
      <c r="C18" s="70">
        <v>35</v>
      </c>
      <c r="D18" s="106">
        <v>35</v>
      </c>
      <c r="E18" s="106">
        <f t="shared" si="2"/>
        <v>0</v>
      </c>
      <c r="F18" s="78">
        <v>9.6</v>
      </c>
      <c r="G18" s="78">
        <v>490.5</v>
      </c>
      <c r="H18" s="65">
        <v>885.2</v>
      </c>
      <c r="I18" s="78">
        <v>73.8</v>
      </c>
      <c r="J18" s="78">
        <v>31</v>
      </c>
      <c r="K18" s="78">
        <v>0</v>
      </c>
      <c r="L18" s="78">
        <v>0</v>
      </c>
      <c r="M18" s="65">
        <f>N18-B18-C18-F18-G18-H18-I18-J18-K18-L18</f>
        <v>14.600000000000776</v>
      </c>
      <c r="N18" s="65">
        <v>9762.7</v>
      </c>
      <c r="O18" s="65">
        <v>4700</v>
      </c>
      <c r="P18" s="3">
        <f>N18/O18</f>
        <v>2.0771702127659575</v>
      </c>
      <c r="Q18" s="2">
        <v>6516.3</v>
      </c>
      <c r="R18" s="69">
        <v>0</v>
      </c>
      <c r="S18" s="65">
        <v>0</v>
      </c>
      <c r="T18" s="70">
        <v>0</v>
      </c>
      <c r="U18" s="111">
        <v>0</v>
      </c>
      <c r="V18" s="112"/>
      <c r="W18" s="68">
        <f t="shared" si="3"/>
        <v>0</v>
      </c>
    </row>
    <row r="19" spans="1:23" ht="12.75">
      <c r="A19" s="10">
        <v>43549</v>
      </c>
      <c r="B19" s="65">
        <v>1083.8</v>
      </c>
      <c r="C19" s="70">
        <v>489.4</v>
      </c>
      <c r="D19" s="106">
        <v>489.4</v>
      </c>
      <c r="E19" s="106">
        <f t="shared" si="2"/>
        <v>0</v>
      </c>
      <c r="F19" s="78">
        <v>29.5</v>
      </c>
      <c r="G19" s="78">
        <v>780.8</v>
      </c>
      <c r="H19" s="65">
        <v>255.2</v>
      </c>
      <c r="I19" s="78">
        <v>89.9</v>
      </c>
      <c r="J19" s="78">
        <v>9.2</v>
      </c>
      <c r="K19" s="78">
        <v>0</v>
      </c>
      <c r="L19" s="78">
        <v>0</v>
      </c>
      <c r="M19" s="65">
        <f>N19-B19-C19-F19-G19-H19-I19-J19-K19-L19</f>
        <v>16.900000000000052</v>
      </c>
      <c r="N19" s="65">
        <v>2754.7</v>
      </c>
      <c r="O19" s="65">
        <v>4600</v>
      </c>
      <c r="P19" s="3">
        <f t="shared" si="1"/>
        <v>0.5988478260869565</v>
      </c>
      <c r="Q19" s="2">
        <v>6516.3</v>
      </c>
      <c r="R19" s="69">
        <v>14.7</v>
      </c>
      <c r="S19" s="65">
        <v>0</v>
      </c>
      <c r="T19" s="70">
        <v>1.2</v>
      </c>
      <c r="U19" s="111">
        <v>0</v>
      </c>
      <c r="V19" s="112"/>
      <c r="W19" s="68">
        <f t="shared" si="3"/>
        <v>15.899999999999999</v>
      </c>
    </row>
    <row r="20" spans="1:23" ht="12.75">
      <c r="A20" s="10">
        <v>43550</v>
      </c>
      <c r="B20" s="65">
        <v>796.3</v>
      </c>
      <c r="C20" s="70">
        <v>401.6</v>
      </c>
      <c r="D20" s="106">
        <v>401.6</v>
      </c>
      <c r="E20" s="106">
        <f t="shared" si="2"/>
        <v>0</v>
      </c>
      <c r="F20" s="78">
        <v>72.8</v>
      </c>
      <c r="G20" s="65">
        <v>1548.7</v>
      </c>
      <c r="H20" s="65">
        <v>234.1</v>
      </c>
      <c r="I20" s="78">
        <v>39.5</v>
      </c>
      <c r="J20" s="78">
        <v>5.1</v>
      </c>
      <c r="K20" s="78">
        <v>0</v>
      </c>
      <c r="L20" s="78">
        <v>0</v>
      </c>
      <c r="M20" s="65">
        <f t="shared" si="0"/>
        <v>61.200000000000095</v>
      </c>
      <c r="N20" s="65">
        <v>3159.3</v>
      </c>
      <c r="O20" s="65">
        <v>5300</v>
      </c>
      <c r="P20" s="3">
        <f t="shared" si="1"/>
        <v>0.5960943396226416</v>
      </c>
      <c r="Q20" s="2">
        <v>6516.3</v>
      </c>
      <c r="R20" s="69">
        <v>0</v>
      </c>
      <c r="S20" s="65">
        <v>0</v>
      </c>
      <c r="T20" s="70">
        <v>31.6</v>
      </c>
      <c r="U20" s="111">
        <v>0</v>
      </c>
      <c r="V20" s="112"/>
      <c r="W20" s="68">
        <f t="shared" si="3"/>
        <v>31.6</v>
      </c>
    </row>
    <row r="21" spans="1:23" ht="12.75">
      <c r="A21" s="10">
        <v>43551</v>
      </c>
      <c r="B21" s="65">
        <v>2262.9</v>
      </c>
      <c r="C21" s="70">
        <v>1735</v>
      </c>
      <c r="D21" s="106">
        <v>1735</v>
      </c>
      <c r="E21" s="106">
        <f t="shared" si="2"/>
        <v>0</v>
      </c>
      <c r="F21" s="78">
        <v>131.7</v>
      </c>
      <c r="G21" s="65">
        <v>2557.1</v>
      </c>
      <c r="H21" s="65">
        <v>468.2</v>
      </c>
      <c r="I21" s="78">
        <v>90.3</v>
      </c>
      <c r="J21" s="78">
        <v>4.9</v>
      </c>
      <c r="K21" s="78">
        <v>0</v>
      </c>
      <c r="L21" s="78">
        <v>0</v>
      </c>
      <c r="M21" s="65">
        <f t="shared" si="0"/>
        <v>25.900000000000652</v>
      </c>
      <c r="N21" s="65">
        <v>7276</v>
      </c>
      <c r="O21" s="65">
        <v>8800</v>
      </c>
      <c r="P21" s="3">
        <f t="shared" si="1"/>
        <v>0.8268181818181818</v>
      </c>
      <c r="Q21" s="2">
        <v>6516.3</v>
      </c>
      <c r="R21" s="102">
        <v>0</v>
      </c>
      <c r="S21" s="103">
        <v>0</v>
      </c>
      <c r="T21" s="104">
        <v>0</v>
      </c>
      <c r="U21" s="111">
        <v>0</v>
      </c>
      <c r="V21" s="112"/>
      <c r="W21" s="68">
        <f t="shared" si="3"/>
        <v>0</v>
      </c>
    </row>
    <row r="22" spans="1:23" ht="12.75">
      <c r="A22" s="10">
        <v>43552</v>
      </c>
      <c r="B22" s="65">
        <v>12881.1</v>
      </c>
      <c r="C22" s="70">
        <v>774.5</v>
      </c>
      <c r="D22" s="106">
        <v>774.5</v>
      </c>
      <c r="E22" s="106">
        <f t="shared" si="2"/>
        <v>0</v>
      </c>
      <c r="F22" s="78">
        <v>64.3</v>
      </c>
      <c r="G22" s="65">
        <v>1935</v>
      </c>
      <c r="H22" s="65">
        <v>557.9</v>
      </c>
      <c r="I22" s="78">
        <v>52.1</v>
      </c>
      <c r="J22" s="78">
        <v>17.4</v>
      </c>
      <c r="K22" s="78">
        <v>0</v>
      </c>
      <c r="L22" s="78">
        <v>0</v>
      </c>
      <c r="M22" s="65">
        <f t="shared" si="0"/>
        <v>39.400000000000205</v>
      </c>
      <c r="N22" s="65">
        <v>16321.7</v>
      </c>
      <c r="O22" s="65">
        <v>11800</v>
      </c>
      <c r="P22" s="3">
        <f t="shared" si="1"/>
        <v>1.3831949152542373</v>
      </c>
      <c r="Q22" s="2">
        <v>6516.3</v>
      </c>
      <c r="R22" s="102">
        <v>3.5</v>
      </c>
      <c r="S22" s="103">
        <v>0</v>
      </c>
      <c r="T22" s="104">
        <v>0</v>
      </c>
      <c r="U22" s="111">
        <v>0</v>
      </c>
      <c r="V22" s="112"/>
      <c r="W22" s="68">
        <f t="shared" si="3"/>
        <v>3.5</v>
      </c>
    </row>
    <row r="23" spans="1:23" ht="13.5" thickBot="1">
      <c r="A23" s="10">
        <v>43553</v>
      </c>
      <c r="B23" s="65">
        <v>7314</v>
      </c>
      <c r="C23" s="74">
        <v>214.96</v>
      </c>
      <c r="D23" s="106">
        <v>214.96</v>
      </c>
      <c r="E23" s="106">
        <f t="shared" si="2"/>
        <v>0</v>
      </c>
      <c r="F23" s="78">
        <v>239.3</v>
      </c>
      <c r="G23" s="65">
        <v>3380.5</v>
      </c>
      <c r="H23" s="65">
        <v>410</v>
      </c>
      <c r="I23" s="78">
        <v>75.7</v>
      </c>
      <c r="J23" s="78">
        <v>83.6</v>
      </c>
      <c r="K23" s="78">
        <v>0</v>
      </c>
      <c r="L23" s="78">
        <v>0</v>
      </c>
      <c r="M23" s="65">
        <f t="shared" si="0"/>
        <v>19.33999999999942</v>
      </c>
      <c r="N23" s="65">
        <v>11737.4</v>
      </c>
      <c r="O23" s="65">
        <v>18900</v>
      </c>
      <c r="P23" s="3">
        <f t="shared" si="1"/>
        <v>0.621026455026455</v>
      </c>
      <c r="Q23" s="2">
        <v>6516.3</v>
      </c>
      <c r="R23" s="98">
        <v>11.7</v>
      </c>
      <c r="S23" s="99">
        <v>0</v>
      </c>
      <c r="T23" s="100">
        <v>74.5</v>
      </c>
      <c r="U23" s="126"/>
      <c r="V23" s="127"/>
      <c r="W23" s="101">
        <f t="shared" si="3"/>
        <v>86.2</v>
      </c>
    </row>
    <row r="24" spans="1:23" ht="13.5" thickBot="1">
      <c r="A24" s="83" t="s">
        <v>28</v>
      </c>
      <c r="B24" s="85">
        <f aca="true" t="shared" si="4" ref="B24:O24">SUM(B4:B23)</f>
        <v>91400.6</v>
      </c>
      <c r="C24" s="85">
        <f t="shared" si="4"/>
        <v>4307.86</v>
      </c>
      <c r="D24" s="107">
        <f t="shared" si="4"/>
        <v>4307.86</v>
      </c>
      <c r="E24" s="107">
        <f t="shared" si="4"/>
        <v>0</v>
      </c>
      <c r="F24" s="85">
        <f t="shared" si="4"/>
        <v>888.05</v>
      </c>
      <c r="G24" s="85">
        <f t="shared" si="4"/>
        <v>17437.230000000003</v>
      </c>
      <c r="H24" s="85">
        <f t="shared" si="4"/>
        <v>11409.450000000003</v>
      </c>
      <c r="I24" s="85">
        <f t="shared" si="4"/>
        <v>1484.6500000000003</v>
      </c>
      <c r="J24" s="85">
        <f t="shared" si="4"/>
        <v>474.15</v>
      </c>
      <c r="K24" s="85">
        <f t="shared" si="4"/>
        <v>735.2</v>
      </c>
      <c r="L24" s="85">
        <f t="shared" si="4"/>
        <v>1257.4</v>
      </c>
      <c r="M24" s="84">
        <f t="shared" si="4"/>
        <v>930.6299999999998</v>
      </c>
      <c r="N24" s="84">
        <f t="shared" si="4"/>
        <v>130325.22</v>
      </c>
      <c r="O24" s="84">
        <f t="shared" si="4"/>
        <v>151550</v>
      </c>
      <c r="P24" s="86">
        <f>N24/O24</f>
        <v>0.8599486638073244</v>
      </c>
      <c r="Q24" s="2"/>
      <c r="R24" s="75">
        <f>SUM(R4:R23)</f>
        <v>41.730000000000004</v>
      </c>
      <c r="S24" s="75">
        <f>SUM(S4:S23)</f>
        <v>0</v>
      </c>
      <c r="T24" s="75">
        <f>SUM(T4:T23)</f>
        <v>143.48000000000002</v>
      </c>
      <c r="U24" s="128">
        <f>SUM(U4:U23)</f>
        <v>1</v>
      </c>
      <c r="V24" s="129"/>
      <c r="W24" s="75">
        <f>R24+S24+U24+T24+V24</f>
        <v>186.21000000000004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16" t="s">
        <v>33</v>
      </c>
      <c r="S27" s="116"/>
      <c r="T27" s="116"/>
      <c r="U27" s="116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30" t="s">
        <v>29</v>
      </c>
      <c r="S28" s="130"/>
      <c r="T28" s="130"/>
      <c r="U28" s="130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18">
        <v>43556</v>
      </c>
      <c r="S29" s="131">
        <v>14524.5544</v>
      </c>
      <c r="T29" s="131"/>
      <c r="U29" s="131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19"/>
      <c r="S30" s="131"/>
      <c r="T30" s="131"/>
      <c r="U30" s="131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13" t="s">
        <v>45</v>
      </c>
      <c r="T32" s="114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15" t="s">
        <v>40</v>
      </c>
      <c r="T33" s="115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16" t="s">
        <v>30</v>
      </c>
      <c r="S37" s="116"/>
      <c r="T37" s="116"/>
      <c r="U37" s="116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17" t="s">
        <v>31</v>
      </c>
      <c r="S38" s="117"/>
      <c r="T38" s="117"/>
      <c r="U38" s="117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18">
        <v>43556</v>
      </c>
      <c r="S39" s="120">
        <v>55821.68468999999</v>
      </c>
      <c r="T39" s="121"/>
      <c r="U39" s="122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19"/>
      <c r="S40" s="123"/>
      <c r="T40" s="124"/>
      <c r="U40" s="125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2:T32"/>
    <mergeCell ref="S33:T33"/>
    <mergeCell ref="R37:U37"/>
    <mergeCell ref="R38:U38"/>
    <mergeCell ref="R39:R40"/>
    <mergeCell ref="S39:U40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9" sqref="S39:U40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30" customHeight="1">
      <c r="A1" s="134" t="s">
        <v>85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6"/>
      <c r="Q1" s="1"/>
      <c r="R1" s="137" t="s">
        <v>86</v>
      </c>
      <c r="S1" s="138"/>
      <c r="T1" s="138"/>
      <c r="U1" s="138"/>
      <c r="V1" s="138"/>
      <c r="W1" s="139"/>
    </row>
    <row r="2" spans="1:23" ht="15" thickBot="1">
      <c r="A2" s="140" t="s">
        <v>88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2"/>
      <c r="Q2" s="1"/>
      <c r="R2" s="143" t="s">
        <v>89</v>
      </c>
      <c r="S2" s="144"/>
      <c r="T2" s="144"/>
      <c r="U2" s="144"/>
      <c r="V2" s="144"/>
      <c r="W2" s="145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82</v>
      </c>
      <c r="K3" s="22" t="s">
        <v>4</v>
      </c>
      <c r="L3" s="22" t="s">
        <v>57</v>
      </c>
      <c r="M3" s="29" t="s">
        <v>5</v>
      </c>
      <c r="N3" s="29" t="s">
        <v>87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46" t="s">
        <v>47</v>
      </c>
      <c r="V3" s="147"/>
      <c r="W3" s="93" t="s">
        <v>27</v>
      </c>
    </row>
    <row r="4" spans="1:23" ht="12.75">
      <c r="A4" s="108">
        <v>43556</v>
      </c>
      <c r="B4" s="65">
        <v>1032.7</v>
      </c>
      <c r="C4" s="79">
        <v>4</v>
      </c>
      <c r="D4" s="106">
        <v>4</v>
      </c>
      <c r="E4" s="106">
        <f>C4-D4</f>
        <v>0</v>
      </c>
      <c r="F4" s="65">
        <v>20.6</v>
      </c>
      <c r="G4" s="65">
        <v>119.1</v>
      </c>
      <c r="H4" s="67">
        <v>772</v>
      </c>
      <c r="I4" s="78">
        <v>81.5</v>
      </c>
      <c r="J4" s="78">
        <v>17.9</v>
      </c>
      <c r="K4" s="78">
        <v>0</v>
      </c>
      <c r="L4" s="65">
        <v>1530.3</v>
      </c>
      <c r="M4" s="65">
        <f aca="true" t="shared" si="0" ref="M4:M23">N4-B4-C4-F4-G4-H4-I4-J4-K4-L4</f>
        <v>12.299999999999955</v>
      </c>
      <c r="N4" s="65">
        <v>3590.4</v>
      </c>
      <c r="O4" s="65">
        <v>6000</v>
      </c>
      <c r="P4" s="3">
        <f aca="true" t="shared" si="1" ref="P4:P23">N4/O4</f>
        <v>0.5984</v>
      </c>
      <c r="Q4" s="2">
        <f>AVERAGE(N4:N23)</f>
        <v>9033.687000000002</v>
      </c>
      <c r="R4" s="94">
        <v>0</v>
      </c>
      <c r="S4" s="95">
        <v>0</v>
      </c>
      <c r="T4" s="96">
        <v>0</v>
      </c>
      <c r="U4" s="148">
        <v>0</v>
      </c>
      <c r="V4" s="149"/>
      <c r="W4" s="97">
        <f>R4+S4+U4+T4+V4</f>
        <v>0</v>
      </c>
    </row>
    <row r="5" spans="1:23" ht="12.75">
      <c r="A5" s="10">
        <v>43557</v>
      </c>
      <c r="B5" s="65">
        <v>1000.2</v>
      </c>
      <c r="C5" s="79">
        <v>9</v>
      </c>
      <c r="D5" s="106">
        <v>9</v>
      </c>
      <c r="E5" s="106">
        <f aca="true" t="shared" si="2" ref="E5:E23">C5-D5</f>
        <v>0</v>
      </c>
      <c r="F5" s="65">
        <v>66.3</v>
      </c>
      <c r="G5" s="65">
        <v>239.8</v>
      </c>
      <c r="H5" s="79">
        <v>1436.3</v>
      </c>
      <c r="I5" s="78">
        <v>128.5</v>
      </c>
      <c r="J5" s="78">
        <v>59.5</v>
      </c>
      <c r="K5" s="78">
        <v>0</v>
      </c>
      <c r="L5" s="65">
        <v>0</v>
      </c>
      <c r="M5" s="65">
        <f t="shared" si="0"/>
        <v>41.20000000000027</v>
      </c>
      <c r="N5" s="65">
        <v>2980.8</v>
      </c>
      <c r="O5" s="65">
        <v>3000</v>
      </c>
      <c r="P5" s="3">
        <f t="shared" si="1"/>
        <v>0.9936</v>
      </c>
      <c r="Q5" s="2">
        <v>8672.3</v>
      </c>
      <c r="R5" s="69">
        <v>1.1</v>
      </c>
      <c r="S5" s="65">
        <v>0</v>
      </c>
      <c r="T5" s="70">
        <v>20</v>
      </c>
      <c r="U5" s="111">
        <v>0</v>
      </c>
      <c r="V5" s="112"/>
      <c r="W5" s="68">
        <f aca="true" t="shared" si="3" ref="W5:W23">R5+S5+U5+T5+V5</f>
        <v>21.1</v>
      </c>
    </row>
    <row r="6" spans="1:23" ht="12.75">
      <c r="A6" s="10">
        <v>43558</v>
      </c>
      <c r="B6" s="65">
        <v>1514.8</v>
      </c>
      <c r="C6" s="79">
        <v>6.5</v>
      </c>
      <c r="D6" s="106">
        <v>6.5</v>
      </c>
      <c r="E6" s="106">
        <f t="shared" si="2"/>
        <v>0</v>
      </c>
      <c r="F6" s="72">
        <v>35.2</v>
      </c>
      <c r="G6" s="65">
        <v>85.6</v>
      </c>
      <c r="H6" s="80">
        <v>1081.9</v>
      </c>
      <c r="I6" s="78">
        <v>12.3</v>
      </c>
      <c r="J6" s="78">
        <v>34.1</v>
      </c>
      <c r="K6" s="78">
        <v>790.6</v>
      </c>
      <c r="L6" s="78">
        <v>0</v>
      </c>
      <c r="M6" s="65">
        <f t="shared" si="0"/>
        <v>59</v>
      </c>
      <c r="N6" s="65">
        <v>3620</v>
      </c>
      <c r="O6" s="65">
        <v>4100</v>
      </c>
      <c r="P6" s="3">
        <f t="shared" si="1"/>
        <v>0.8829268292682927</v>
      </c>
      <c r="Q6" s="2">
        <v>8672.3</v>
      </c>
      <c r="R6" s="71">
        <v>0</v>
      </c>
      <c r="S6" s="72">
        <v>0</v>
      </c>
      <c r="T6" s="73">
        <v>0</v>
      </c>
      <c r="U6" s="132">
        <v>0</v>
      </c>
      <c r="V6" s="133"/>
      <c r="W6" s="68">
        <f t="shared" si="3"/>
        <v>0</v>
      </c>
    </row>
    <row r="7" spans="1:23" ht="12.75">
      <c r="A7" s="10">
        <v>43559</v>
      </c>
      <c r="B7" s="77">
        <v>3103.7</v>
      </c>
      <c r="C7" s="79">
        <v>17</v>
      </c>
      <c r="D7" s="106">
        <v>17</v>
      </c>
      <c r="E7" s="106">
        <f t="shared" si="2"/>
        <v>0</v>
      </c>
      <c r="F7" s="65">
        <v>118.5</v>
      </c>
      <c r="G7" s="65">
        <v>118</v>
      </c>
      <c r="H7" s="79">
        <v>1103.5</v>
      </c>
      <c r="I7" s="78">
        <v>125.2</v>
      </c>
      <c r="J7" s="78">
        <v>32.2</v>
      </c>
      <c r="K7" s="78">
        <v>0.1</v>
      </c>
      <c r="L7" s="78">
        <v>0</v>
      </c>
      <c r="M7" s="65">
        <f t="shared" si="0"/>
        <v>21.499999999999993</v>
      </c>
      <c r="N7" s="65">
        <v>4639.7</v>
      </c>
      <c r="O7" s="65">
        <v>8000</v>
      </c>
      <c r="P7" s="3">
        <f t="shared" si="1"/>
        <v>0.5799624999999999</v>
      </c>
      <c r="Q7" s="2">
        <v>8672.3</v>
      </c>
      <c r="R7" s="71">
        <v>0</v>
      </c>
      <c r="S7" s="72">
        <v>0</v>
      </c>
      <c r="T7" s="73">
        <v>0</v>
      </c>
      <c r="U7" s="132">
        <v>0</v>
      </c>
      <c r="V7" s="133"/>
      <c r="W7" s="68">
        <f t="shared" si="3"/>
        <v>0</v>
      </c>
    </row>
    <row r="8" spans="1:23" ht="12.75">
      <c r="A8" s="10">
        <v>43560</v>
      </c>
      <c r="B8" s="65">
        <v>16859.5</v>
      </c>
      <c r="C8" s="70">
        <v>16685.7</v>
      </c>
      <c r="D8" s="106">
        <v>15.4</v>
      </c>
      <c r="E8" s="106">
        <f t="shared" si="2"/>
        <v>16670.3</v>
      </c>
      <c r="F8" s="78">
        <v>39.1</v>
      </c>
      <c r="G8" s="78">
        <v>240.7</v>
      </c>
      <c r="H8" s="65">
        <v>1471.4</v>
      </c>
      <c r="I8" s="78">
        <v>-9.9</v>
      </c>
      <c r="J8" s="78">
        <v>11.95</v>
      </c>
      <c r="K8" s="78">
        <v>0</v>
      </c>
      <c r="L8" s="78">
        <v>0</v>
      </c>
      <c r="M8" s="65">
        <f t="shared" si="0"/>
        <v>109.85000000000214</v>
      </c>
      <c r="N8" s="65">
        <v>35408.3</v>
      </c>
      <c r="O8" s="65">
        <v>15200</v>
      </c>
      <c r="P8" s="3">
        <f t="shared" si="1"/>
        <v>2.3294934210526317</v>
      </c>
      <c r="Q8" s="2">
        <v>8672.3</v>
      </c>
      <c r="R8" s="71">
        <v>0</v>
      </c>
      <c r="S8" s="72">
        <v>0</v>
      </c>
      <c r="T8" s="70">
        <v>0</v>
      </c>
      <c r="U8" s="111">
        <v>1</v>
      </c>
      <c r="V8" s="112"/>
      <c r="W8" s="68">
        <f t="shared" si="3"/>
        <v>1</v>
      </c>
    </row>
    <row r="9" spans="1:23" ht="12.75">
      <c r="A9" s="10">
        <v>43563</v>
      </c>
      <c r="B9" s="65">
        <v>6750.1</v>
      </c>
      <c r="C9" s="70">
        <v>480.4</v>
      </c>
      <c r="D9" s="106">
        <v>83.4</v>
      </c>
      <c r="E9" s="106">
        <f t="shared" si="2"/>
        <v>397</v>
      </c>
      <c r="F9" s="78">
        <v>105.4</v>
      </c>
      <c r="G9" s="82">
        <v>230</v>
      </c>
      <c r="H9" s="65">
        <v>1956.7</v>
      </c>
      <c r="I9" s="78">
        <v>148.8</v>
      </c>
      <c r="J9" s="78">
        <v>61.1</v>
      </c>
      <c r="K9" s="78">
        <v>0</v>
      </c>
      <c r="L9" s="78">
        <v>0</v>
      </c>
      <c r="M9" s="65">
        <f t="shared" si="0"/>
        <v>33.09999999999976</v>
      </c>
      <c r="N9" s="65">
        <v>9765.6</v>
      </c>
      <c r="O9" s="65">
        <v>9900</v>
      </c>
      <c r="P9" s="3">
        <f t="shared" si="1"/>
        <v>0.9864242424242424</v>
      </c>
      <c r="Q9" s="2">
        <v>8672.3</v>
      </c>
      <c r="R9" s="71">
        <v>0</v>
      </c>
      <c r="S9" s="72">
        <v>0</v>
      </c>
      <c r="T9" s="70">
        <v>0</v>
      </c>
      <c r="U9" s="111">
        <v>0</v>
      </c>
      <c r="V9" s="112"/>
      <c r="W9" s="68">
        <f t="shared" si="3"/>
        <v>0</v>
      </c>
    </row>
    <row r="10" spans="1:23" ht="12.75">
      <c r="A10" s="10">
        <v>43564</v>
      </c>
      <c r="B10" s="65">
        <v>2282.7</v>
      </c>
      <c r="C10" s="70">
        <v>285.4</v>
      </c>
      <c r="D10" s="106">
        <v>10.3</v>
      </c>
      <c r="E10" s="106">
        <f t="shared" si="2"/>
        <v>275.09999999999997</v>
      </c>
      <c r="F10" s="78">
        <v>43.1</v>
      </c>
      <c r="G10" s="78">
        <v>366.4</v>
      </c>
      <c r="H10" s="65">
        <v>1343.5</v>
      </c>
      <c r="I10" s="78">
        <v>92.9</v>
      </c>
      <c r="J10" s="78">
        <v>83.8</v>
      </c>
      <c r="K10" s="78">
        <v>0</v>
      </c>
      <c r="L10" s="78">
        <v>0</v>
      </c>
      <c r="M10" s="65">
        <f t="shared" si="0"/>
        <v>242.89999999999992</v>
      </c>
      <c r="N10" s="65">
        <v>4740.7</v>
      </c>
      <c r="O10" s="72">
        <v>3200</v>
      </c>
      <c r="P10" s="3">
        <f t="shared" si="1"/>
        <v>1.48146875</v>
      </c>
      <c r="Q10" s="2">
        <v>8672.3</v>
      </c>
      <c r="R10" s="71">
        <v>0</v>
      </c>
      <c r="S10" s="72">
        <v>0</v>
      </c>
      <c r="T10" s="70">
        <v>0</v>
      </c>
      <c r="U10" s="111">
        <v>0</v>
      </c>
      <c r="V10" s="112"/>
      <c r="W10" s="68">
        <f>R10+S10+U10+T10+V10</f>
        <v>0</v>
      </c>
    </row>
    <row r="11" spans="1:23" ht="12.75">
      <c r="A11" s="10">
        <v>43565</v>
      </c>
      <c r="B11" s="65">
        <v>842.9</v>
      </c>
      <c r="C11" s="70">
        <v>218.7</v>
      </c>
      <c r="D11" s="106">
        <v>43.7</v>
      </c>
      <c r="E11" s="106">
        <f t="shared" si="2"/>
        <v>175</v>
      </c>
      <c r="F11" s="78">
        <v>141.9</v>
      </c>
      <c r="G11" s="78">
        <v>227.9</v>
      </c>
      <c r="H11" s="65">
        <v>1602.6</v>
      </c>
      <c r="I11" s="78">
        <v>8.6</v>
      </c>
      <c r="J11" s="78">
        <v>22.7</v>
      </c>
      <c r="K11" s="78">
        <v>0</v>
      </c>
      <c r="L11" s="78">
        <v>0</v>
      </c>
      <c r="M11" s="65">
        <f t="shared" si="0"/>
        <v>47.39999999999982</v>
      </c>
      <c r="N11" s="65">
        <v>3112.7</v>
      </c>
      <c r="O11" s="65">
        <v>4900</v>
      </c>
      <c r="P11" s="3">
        <f t="shared" si="1"/>
        <v>0.6352448979591836</v>
      </c>
      <c r="Q11" s="2">
        <v>8672.3</v>
      </c>
      <c r="R11" s="69">
        <v>0</v>
      </c>
      <c r="S11" s="65">
        <v>0</v>
      </c>
      <c r="T11" s="70">
        <v>0</v>
      </c>
      <c r="U11" s="111">
        <v>0</v>
      </c>
      <c r="V11" s="112"/>
      <c r="W11" s="68">
        <f t="shared" si="3"/>
        <v>0</v>
      </c>
    </row>
    <row r="12" spans="1:23" ht="12.75">
      <c r="A12" s="10">
        <v>43566</v>
      </c>
      <c r="B12" s="77">
        <v>1015.8</v>
      </c>
      <c r="C12" s="70">
        <v>191.2</v>
      </c>
      <c r="D12" s="106">
        <v>50.8</v>
      </c>
      <c r="E12" s="106">
        <f t="shared" si="2"/>
        <v>140.39999999999998</v>
      </c>
      <c r="F12" s="78">
        <v>95.4</v>
      </c>
      <c r="G12" s="78">
        <v>267.6</v>
      </c>
      <c r="H12" s="65">
        <v>1281.4</v>
      </c>
      <c r="I12" s="78">
        <v>77</v>
      </c>
      <c r="J12" s="78">
        <v>8.6</v>
      </c>
      <c r="K12" s="78">
        <v>0</v>
      </c>
      <c r="L12" s="78">
        <v>0</v>
      </c>
      <c r="M12" s="65">
        <f t="shared" si="0"/>
        <v>35.699999999999726</v>
      </c>
      <c r="N12" s="65">
        <v>2972.7</v>
      </c>
      <c r="O12" s="65">
        <v>4800</v>
      </c>
      <c r="P12" s="3">
        <f t="shared" si="1"/>
        <v>0.6193124999999999</v>
      </c>
      <c r="Q12" s="2">
        <v>8672.3</v>
      </c>
      <c r="R12" s="69">
        <v>0</v>
      </c>
      <c r="S12" s="65">
        <v>0</v>
      </c>
      <c r="T12" s="70">
        <v>0</v>
      </c>
      <c r="U12" s="111">
        <v>0</v>
      </c>
      <c r="V12" s="112"/>
      <c r="W12" s="68">
        <f t="shared" si="3"/>
        <v>0</v>
      </c>
    </row>
    <row r="13" spans="1:23" ht="12.75">
      <c r="A13" s="10">
        <v>43567</v>
      </c>
      <c r="B13" s="65">
        <v>6223.8</v>
      </c>
      <c r="C13" s="70">
        <v>204.9</v>
      </c>
      <c r="D13" s="106">
        <v>4.8</v>
      </c>
      <c r="E13" s="106">
        <f t="shared" si="2"/>
        <v>200.1</v>
      </c>
      <c r="F13" s="78">
        <v>162.2</v>
      </c>
      <c r="G13" s="78">
        <v>424</v>
      </c>
      <c r="H13" s="65">
        <v>1516.3</v>
      </c>
      <c r="I13" s="78">
        <v>90.2</v>
      </c>
      <c r="J13" s="78">
        <v>51.3</v>
      </c>
      <c r="K13" s="78">
        <v>0</v>
      </c>
      <c r="L13" s="78">
        <v>0</v>
      </c>
      <c r="M13" s="65">
        <f t="shared" si="0"/>
        <v>23.90000000000032</v>
      </c>
      <c r="N13" s="65">
        <v>8696.6</v>
      </c>
      <c r="O13" s="65">
        <v>4500</v>
      </c>
      <c r="P13" s="3">
        <f t="shared" si="1"/>
        <v>1.932577777777778</v>
      </c>
      <c r="Q13" s="2">
        <v>8672.3</v>
      </c>
      <c r="R13" s="69">
        <v>0</v>
      </c>
      <c r="S13" s="65">
        <v>0</v>
      </c>
      <c r="T13" s="70">
        <v>0</v>
      </c>
      <c r="U13" s="111">
        <v>0</v>
      </c>
      <c r="V13" s="112"/>
      <c r="W13" s="68">
        <v>0</v>
      </c>
    </row>
    <row r="14" spans="1:23" ht="12.75">
      <c r="A14" s="10">
        <v>43570</v>
      </c>
      <c r="B14" s="65">
        <v>7465.8</v>
      </c>
      <c r="C14" s="70">
        <v>594.7</v>
      </c>
      <c r="D14" s="106">
        <v>187</v>
      </c>
      <c r="E14" s="106">
        <f t="shared" si="2"/>
        <v>407.70000000000005</v>
      </c>
      <c r="F14" s="78">
        <v>321.1</v>
      </c>
      <c r="G14" s="78">
        <v>371.9</v>
      </c>
      <c r="H14" s="65">
        <v>2325.3</v>
      </c>
      <c r="I14" s="78">
        <v>29.9</v>
      </c>
      <c r="J14" s="78">
        <v>39.2</v>
      </c>
      <c r="K14" s="78">
        <v>0</v>
      </c>
      <c r="L14" s="78">
        <v>0</v>
      </c>
      <c r="M14" s="65">
        <f t="shared" si="0"/>
        <v>52.34999999999981</v>
      </c>
      <c r="N14" s="65">
        <v>11200.25</v>
      </c>
      <c r="O14" s="65">
        <v>14500</v>
      </c>
      <c r="P14" s="3">
        <f t="shared" si="1"/>
        <v>0.7724310344827586</v>
      </c>
      <c r="Q14" s="2">
        <v>8672.3</v>
      </c>
      <c r="R14" s="69">
        <v>0</v>
      </c>
      <c r="S14" s="65">
        <v>0</v>
      </c>
      <c r="T14" s="74">
        <v>0</v>
      </c>
      <c r="U14" s="111">
        <v>0</v>
      </c>
      <c r="V14" s="112"/>
      <c r="W14" s="68">
        <f t="shared" si="3"/>
        <v>0</v>
      </c>
    </row>
    <row r="15" spans="1:23" ht="12.75">
      <c r="A15" s="10">
        <v>43571</v>
      </c>
      <c r="B15" s="65">
        <v>2180.9</v>
      </c>
      <c r="C15" s="66">
        <v>323.2</v>
      </c>
      <c r="D15" s="106">
        <v>128.5</v>
      </c>
      <c r="E15" s="106">
        <f t="shared" si="2"/>
        <v>194.7</v>
      </c>
      <c r="F15" s="81">
        <v>294.9</v>
      </c>
      <c r="G15" s="81">
        <v>296.1</v>
      </c>
      <c r="H15" s="82">
        <v>1930.4</v>
      </c>
      <c r="I15" s="81">
        <v>8</v>
      </c>
      <c r="J15" s="81">
        <v>15.5</v>
      </c>
      <c r="K15" s="81">
        <v>0</v>
      </c>
      <c r="L15" s="81">
        <v>0</v>
      </c>
      <c r="M15" s="65">
        <f t="shared" si="0"/>
        <v>37.55000000000018</v>
      </c>
      <c r="N15" s="65">
        <v>5086.55</v>
      </c>
      <c r="O15" s="72">
        <v>7800</v>
      </c>
      <c r="P15" s="3">
        <f>N15/O15</f>
        <v>0.6521217948717949</v>
      </c>
      <c r="Q15" s="2">
        <v>8672.3</v>
      </c>
      <c r="R15" s="69">
        <v>0</v>
      </c>
      <c r="S15" s="65">
        <v>0</v>
      </c>
      <c r="T15" s="74">
        <v>0</v>
      </c>
      <c r="U15" s="111">
        <v>0</v>
      </c>
      <c r="V15" s="112"/>
      <c r="W15" s="68">
        <f t="shared" si="3"/>
        <v>0</v>
      </c>
    </row>
    <row r="16" spans="1:23" ht="12.75">
      <c r="A16" s="10">
        <v>43572</v>
      </c>
      <c r="B16" s="65">
        <v>1402.3</v>
      </c>
      <c r="C16" s="70">
        <v>170.6</v>
      </c>
      <c r="D16" s="106">
        <v>17.1</v>
      </c>
      <c r="E16" s="106">
        <f t="shared" si="2"/>
        <v>153.5</v>
      </c>
      <c r="F16" s="78">
        <v>262.6</v>
      </c>
      <c r="G16" s="78">
        <v>555.3</v>
      </c>
      <c r="H16" s="65">
        <v>1599.6</v>
      </c>
      <c r="I16" s="78">
        <v>63.8</v>
      </c>
      <c r="J16" s="78">
        <v>9.5</v>
      </c>
      <c r="K16" s="78">
        <v>0</v>
      </c>
      <c r="L16" s="78">
        <v>0</v>
      </c>
      <c r="M16" s="65">
        <f t="shared" si="0"/>
        <v>27.74000000000065</v>
      </c>
      <c r="N16" s="65">
        <v>4091.44</v>
      </c>
      <c r="O16" s="72">
        <v>6000</v>
      </c>
      <c r="P16" s="3">
        <f t="shared" si="1"/>
        <v>0.6819066666666667</v>
      </c>
      <c r="Q16" s="2">
        <v>8672.3</v>
      </c>
      <c r="R16" s="69">
        <v>0</v>
      </c>
      <c r="S16" s="65">
        <v>0</v>
      </c>
      <c r="T16" s="74">
        <v>0</v>
      </c>
      <c r="U16" s="111">
        <v>0</v>
      </c>
      <c r="V16" s="112"/>
      <c r="W16" s="68">
        <f t="shared" si="3"/>
        <v>0</v>
      </c>
    </row>
    <row r="17" spans="1:23" ht="12.75">
      <c r="A17" s="10">
        <v>43573</v>
      </c>
      <c r="B17" s="65">
        <v>2169.7</v>
      </c>
      <c r="C17" s="70">
        <v>278.7</v>
      </c>
      <c r="D17" s="106">
        <v>46.7</v>
      </c>
      <c r="E17" s="106">
        <f t="shared" si="2"/>
        <v>232</v>
      </c>
      <c r="F17" s="78">
        <v>237.2</v>
      </c>
      <c r="G17" s="78">
        <v>341.6</v>
      </c>
      <c r="H17" s="65">
        <v>1980.5</v>
      </c>
      <c r="I17" s="78">
        <v>116</v>
      </c>
      <c r="J17" s="78">
        <v>13.8</v>
      </c>
      <c r="K17" s="78">
        <v>0</v>
      </c>
      <c r="L17" s="78">
        <v>0</v>
      </c>
      <c r="M17" s="65">
        <f t="shared" si="0"/>
        <v>53.80000000000082</v>
      </c>
      <c r="N17" s="65">
        <v>5191.3</v>
      </c>
      <c r="O17" s="65">
        <v>9800</v>
      </c>
      <c r="P17" s="3">
        <f t="shared" si="1"/>
        <v>0.5297244897959184</v>
      </c>
      <c r="Q17" s="2">
        <v>8672.3</v>
      </c>
      <c r="R17" s="69">
        <v>0</v>
      </c>
      <c r="S17" s="65">
        <v>0</v>
      </c>
      <c r="T17" s="74">
        <v>0</v>
      </c>
      <c r="U17" s="111">
        <v>0</v>
      </c>
      <c r="V17" s="112"/>
      <c r="W17" s="68">
        <f t="shared" si="3"/>
        <v>0</v>
      </c>
    </row>
    <row r="18" spans="1:23" ht="12.75">
      <c r="A18" s="10">
        <v>43574</v>
      </c>
      <c r="B18" s="65">
        <v>8220.2</v>
      </c>
      <c r="C18" s="70">
        <v>218.8</v>
      </c>
      <c r="D18" s="106">
        <v>22</v>
      </c>
      <c r="E18" s="106">
        <f t="shared" si="2"/>
        <v>196.8</v>
      </c>
      <c r="F18" s="78">
        <v>194.6</v>
      </c>
      <c r="G18" s="78">
        <v>480.1</v>
      </c>
      <c r="H18" s="65">
        <v>1917.95</v>
      </c>
      <c r="I18" s="78">
        <v>58.8</v>
      </c>
      <c r="J18" s="78">
        <v>7.7</v>
      </c>
      <c r="K18" s="78">
        <v>0</v>
      </c>
      <c r="L18" s="78">
        <v>0</v>
      </c>
      <c r="M18" s="65">
        <f>N18-B18-C18-F18-G18-H18-I18-J18-K18-L18</f>
        <v>39.94999999999959</v>
      </c>
      <c r="N18" s="65">
        <v>11138.1</v>
      </c>
      <c r="O18" s="65">
        <v>10500</v>
      </c>
      <c r="P18" s="3">
        <f>N18/O18</f>
        <v>1.0607714285714287</v>
      </c>
      <c r="Q18" s="2">
        <v>8672.3</v>
      </c>
      <c r="R18" s="69">
        <v>0</v>
      </c>
      <c r="S18" s="65">
        <v>0</v>
      </c>
      <c r="T18" s="70">
        <v>0</v>
      </c>
      <c r="U18" s="111">
        <v>0</v>
      </c>
      <c r="V18" s="112"/>
      <c r="W18" s="68">
        <f t="shared" si="3"/>
        <v>0</v>
      </c>
    </row>
    <row r="19" spans="1:23" ht="12.75">
      <c r="A19" s="10">
        <v>43577</v>
      </c>
      <c r="B19" s="65">
        <v>8757.5</v>
      </c>
      <c r="C19" s="70">
        <v>1063.7</v>
      </c>
      <c r="D19" s="106">
        <v>546.2</v>
      </c>
      <c r="E19" s="106">
        <f t="shared" si="2"/>
        <v>517.5</v>
      </c>
      <c r="F19" s="78">
        <v>403.6</v>
      </c>
      <c r="G19" s="78">
        <v>763.4</v>
      </c>
      <c r="H19" s="65">
        <v>1097.1</v>
      </c>
      <c r="I19" s="78">
        <v>28.9</v>
      </c>
      <c r="J19" s="78">
        <v>8.5</v>
      </c>
      <c r="K19" s="78">
        <v>0</v>
      </c>
      <c r="L19" s="78">
        <v>0</v>
      </c>
      <c r="M19" s="65">
        <f>N19-B19-C19-F19-G19-H19-I19-J19-K19-L19</f>
        <v>27.400000000000638</v>
      </c>
      <c r="N19" s="65">
        <v>12150.1</v>
      </c>
      <c r="O19" s="65">
        <v>4600</v>
      </c>
      <c r="P19" s="3">
        <f t="shared" si="1"/>
        <v>2.641326086956522</v>
      </c>
      <c r="Q19" s="2">
        <v>8672.3</v>
      </c>
      <c r="R19" s="69">
        <v>0</v>
      </c>
      <c r="S19" s="65">
        <v>0</v>
      </c>
      <c r="T19" s="70">
        <v>0</v>
      </c>
      <c r="U19" s="111">
        <v>0</v>
      </c>
      <c r="V19" s="112"/>
      <c r="W19" s="68">
        <f t="shared" si="3"/>
        <v>0</v>
      </c>
    </row>
    <row r="20" spans="1:23" ht="12.75">
      <c r="A20" s="10">
        <v>43578</v>
      </c>
      <c r="B20" s="65">
        <v>2875.95</v>
      </c>
      <c r="C20" s="70">
        <v>517.7</v>
      </c>
      <c r="D20" s="106">
        <v>311.3</v>
      </c>
      <c r="E20" s="106">
        <f t="shared" si="2"/>
        <v>206.40000000000003</v>
      </c>
      <c r="F20" s="78">
        <v>1050.8</v>
      </c>
      <c r="G20" s="65">
        <v>2687.6</v>
      </c>
      <c r="H20" s="65">
        <v>1055.2</v>
      </c>
      <c r="I20" s="78">
        <v>30.8</v>
      </c>
      <c r="J20" s="78">
        <v>13.7</v>
      </c>
      <c r="K20" s="78">
        <v>0</v>
      </c>
      <c r="L20" s="78">
        <v>0</v>
      </c>
      <c r="M20" s="65">
        <f t="shared" si="0"/>
        <v>81.0499999999995</v>
      </c>
      <c r="N20" s="65">
        <v>8312.8</v>
      </c>
      <c r="O20" s="65">
        <v>5300</v>
      </c>
      <c r="P20" s="3">
        <f t="shared" si="1"/>
        <v>1.568452830188679</v>
      </c>
      <c r="Q20" s="2">
        <v>8672.3</v>
      </c>
      <c r="R20" s="69">
        <v>15.9</v>
      </c>
      <c r="S20" s="65">
        <v>0</v>
      </c>
      <c r="T20" s="70">
        <v>0</v>
      </c>
      <c r="U20" s="111">
        <v>0</v>
      </c>
      <c r="V20" s="112"/>
      <c r="W20" s="68">
        <f t="shared" si="3"/>
        <v>15.9</v>
      </c>
    </row>
    <row r="21" spans="1:23" ht="12.75">
      <c r="A21" s="10">
        <v>43579</v>
      </c>
      <c r="B21" s="65">
        <v>3495.8</v>
      </c>
      <c r="C21" s="70">
        <v>697.4</v>
      </c>
      <c r="D21" s="106">
        <v>299.8</v>
      </c>
      <c r="E21" s="106">
        <f t="shared" si="2"/>
        <v>397.59999999999997</v>
      </c>
      <c r="F21" s="78">
        <v>742.3</v>
      </c>
      <c r="G21" s="65">
        <v>1845.4</v>
      </c>
      <c r="H21" s="65">
        <v>1026.6</v>
      </c>
      <c r="I21" s="78">
        <v>252.1</v>
      </c>
      <c r="J21" s="78">
        <v>4.5</v>
      </c>
      <c r="K21" s="78">
        <v>0</v>
      </c>
      <c r="L21" s="78">
        <v>0</v>
      </c>
      <c r="M21" s="65">
        <f t="shared" si="0"/>
        <v>28.299999999999642</v>
      </c>
      <c r="N21" s="65">
        <v>8092.4</v>
      </c>
      <c r="O21" s="65">
        <v>5800</v>
      </c>
      <c r="P21" s="3">
        <f t="shared" si="1"/>
        <v>1.3952413793103449</v>
      </c>
      <c r="Q21" s="2">
        <v>8672.3</v>
      </c>
      <c r="R21" s="102">
        <v>0</v>
      </c>
      <c r="S21" s="103">
        <v>0</v>
      </c>
      <c r="T21" s="104">
        <v>0</v>
      </c>
      <c r="U21" s="111">
        <v>0</v>
      </c>
      <c r="V21" s="112"/>
      <c r="W21" s="68">
        <f t="shared" si="3"/>
        <v>0</v>
      </c>
    </row>
    <row r="22" spans="1:23" ht="12.75">
      <c r="A22" s="10">
        <v>43580</v>
      </c>
      <c r="B22" s="65">
        <v>10385.5</v>
      </c>
      <c r="C22" s="70">
        <v>2901.5</v>
      </c>
      <c r="D22" s="106">
        <v>2480.6</v>
      </c>
      <c r="E22" s="106">
        <f t="shared" si="2"/>
        <v>420.9000000000001</v>
      </c>
      <c r="F22" s="78">
        <v>1317.1</v>
      </c>
      <c r="G22" s="65">
        <v>3431.1</v>
      </c>
      <c r="H22" s="65">
        <v>1869.3</v>
      </c>
      <c r="I22" s="78">
        <v>25.5</v>
      </c>
      <c r="J22" s="78">
        <v>28.7</v>
      </c>
      <c r="K22" s="78">
        <v>0</v>
      </c>
      <c r="L22" s="78">
        <v>0</v>
      </c>
      <c r="M22" s="65">
        <f t="shared" si="0"/>
        <v>24.5000000000005</v>
      </c>
      <c r="N22" s="65">
        <v>19983.2</v>
      </c>
      <c r="O22" s="65">
        <v>18900</v>
      </c>
      <c r="P22" s="3">
        <f t="shared" si="1"/>
        <v>1.0573121693121694</v>
      </c>
      <c r="Q22" s="2">
        <v>8672.3</v>
      </c>
      <c r="R22" s="102">
        <v>11.7</v>
      </c>
      <c r="S22" s="103">
        <v>0</v>
      </c>
      <c r="T22" s="104">
        <v>0</v>
      </c>
      <c r="U22" s="111">
        <v>0</v>
      </c>
      <c r="V22" s="112"/>
      <c r="W22" s="68">
        <f t="shared" si="3"/>
        <v>11.7</v>
      </c>
    </row>
    <row r="23" spans="1:23" ht="13.5" thickBot="1">
      <c r="A23" s="10">
        <v>43581</v>
      </c>
      <c r="B23" s="65">
        <v>10578.5</v>
      </c>
      <c r="C23" s="74">
        <v>786.5</v>
      </c>
      <c r="D23" s="106">
        <v>485.9</v>
      </c>
      <c r="E23" s="106">
        <f t="shared" si="2"/>
        <v>300.6</v>
      </c>
      <c r="F23" s="78">
        <v>608.2</v>
      </c>
      <c r="G23" s="65">
        <v>2224.1</v>
      </c>
      <c r="H23" s="65">
        <v>1551</v>
      </c>
      <c r="I23" s="78">
        <v>33.95</v>
      </c>
      <c r="J23" s="78">
        <v>75.5</v>
      </c>
      <c r="K23" s="78">
        <v>0</v>
      </c>
      <c r="L23" s="78">
        <v>0</v>
      </c>
      <c r="M23" s="65">
        <f t="shared" si="0"/>
        <v>42.350000000000634</v>
      </c>
      <c r="N23" s="65">
        <v>15900.1</v>
      </c>
      <c r="O23" s="65">
        <v>16000</v>
      </c>
      <c r="P23" s="3">
        <f t="shared" si="1"/>
        <v>0.99375625</v>
      </c>
      <c r="Q23" s="2">
        <v>8672.3</v>
      </c>
      <c r="R23" s="98">
        <v>0</v>
      </c>
      <c r="S23" s="99">
        <v>0</v>
      </c>
      <c r="T23" s="100">
        <v>78.5</v>
      </c>
      <c r="U23" s="126"/>
      <c r="V23" s="127"/>
      <c r="W23" s="101">
        <f t="shared" si="3"/>
        <v>78.5</v>
      </c>
    </row>
    <row r="24" spans="1:23" ht="13.5" thickBot="1">
      <c r="A24" s="83" t="s">
        <v>28</v>
      </c>
      <c r="B24" s="85">
        <f aca="true" t="shared" si="4" ref="B24:O24">SUM(B4:B23)</f>
        <v>98158.35</v>
      </c>
      <c r="C24" s="85">
        <f t="shared" si="4"/>
        <v>25655.60000000001</v>
      </c>
      <c r="D24" s="107">
        <f t="shared" si="4"/>
        <v>4770</v>
      </c>
      <c r="E24" s="107">
        <f t="shared" si="4"/>
        <v>20885.6</v>
      </c>
      <c r="F24" s="85">
        <f t="shared" si="4"/>
        <v>6260.099999999999</v>
      </c>
      <c r="G24" s="85">
        <f t="shared" si="4"/>
        <v>15315.699999999999</v>
      </c>
      <c r="H24" s="85">
        <f t="shared" si="4"/>
        <v>29918.549999999996</v>
      </c>
      <c r="I24" s="85">
        <f t="shared" si="4"/>
        <v>1402.8500000000001</v>
      </c>
      <c r="J24" s="85">
        <f t="shared" si="4"/>
        <v>599.75</v>
      </c>
      <c r="K24" s="85">
        <f t="shared" si="4"/>
        <v>790.7</v>
      </c>
      <c r="L24" s="85">
        <f t="shared" si="4"/>
        <v>1530.3</v>
      </c>
      <c r="M24" s="84">
        <f t="shared" si="4"/>
        <v>1041.8400000000038</v>
      </c>
      <c r="N24" s="84">
        <f t="shared" si="4"/>
        <v>180673.74000000002</v>
      </c>
      <c r="O24" s="84">
        <f t="shared" si="4"/>
        <v>162800</v>
      </c>
      <c r="P24" s="86">
        <f>N24/O24</f>
        <v>1.1097895577395578</v>
      </c>
      <c r="Q24" s="2"/>
      <c r="R24" s="75">
        <f>SUM(R4:R23)</f>
        <v>28.7</v>
      </c>
      <c r="S24" s="75">
        <f>SUM(S4:S23)</f>
        <v>0</v>
      </c>
      <c r="T24" s="75">
        <f>SUM(T4:T23)</f>
        <v>98.5</v>
      </c>
      <c r="U24" s="128">
        <f>SUM(U4:U23)</f>
        <v>1</v>
      </c>
      <c r="V24" s="129"/>
      <c r="W24" s="75">
        <f>R24+S24+U24+T24+V24</f>
        <v>128.2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16" t="s">
        <v>33</v>
      </c>
      <c r="S27" s="116"/>
      <c r="T27" s="116"/>
      <c r="U27" s="116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30" t="s">
        <v>29</v>
      </c>
      <c r="S28" s="130"/>
      <c r="T28" s="130"/>
      <c r="U28" s="130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18">
        <v>43586</v>
      </c>
      <c r="S29" s="131">
        <v>1497.42704</v>
      </c>
      <c r="T29" s="131"/>
      <c r="U29" s="131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19"/>
      <c r="S30" s="131"/>
      <c r="T30" s="131"/>
      <c r="U30" s="131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13" t="s">
        <v>45</v>
      </c>
      <c r="T32" s="114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15" t="s">
        <v>40</v>
      </c>
      <c r="T33" s="115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16" t="s">
        <v>30</v>
      </c>
      <c r="S37" s="116"/>
      <c r="T37" s="116"/>
      <c r="U37" s="116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17" t="s">
        <v>31</v>
      </c>
      <c r="S38" s="117"/>
      <c r="T38" s="117"/>
      <c r="U38" s="117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18">
        <v>43586</v>
      </c>
      <c r="S39" s="120">
        <v>57866.88668999999</v>
      </c>
      <c r="T39" s="121"/>
      <c r="U39" s="122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19"/>
      <c r="S40" s="123"/>
      <c r="T40" s="124"/>
      <c r="U40" s="125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2:T32"/>
    <mergeCell ref="S33:T33"/>
    <mergeCell ref="R37:U37"/>
    <mergeCell ref="R38:U38"/>
    <mergeCell ref="R39:R40"/>
    <mergeCell ref="S39:U40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8"/>
  <sheetViews>
    <sheetView zoomScalePageLayoutView="0" workbookViewId="0" topLeftCell="A1">
      <pane xSplit="1" ySplit="3" topLeftCell="B1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14" sqref="H14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30" customHeight="1">
      <c r="A1" s="134" t="s">
        <v>90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6"/>
      <c r="Q1" s="1"/>
      <c r="R1" s="137" t="s">
        <v>91</v>
      </c>
      <c r="S1" s="138"/>
      <c r="T1" s="138"/>
      <c r="U1" s="138"/>
      <c r="V1" s="138"/>
      <c r="W1" s="139"/>
    </row>
    <row r="2" spans="1:23" ht="15" thickBot="1">
      <c r="A2" s="140" t="s">
        <v>93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2"/>
      <c r="Q2" s="1"/>
      <c r="R2" s="143" t="s">
        <v>94</v>
      </c>
      <c r="S2" s="144"/>
      <c r="T2" s="144"/>
      <c r="U2" s="144"/>
      <c r="V2" s="144"/>
      <c r="W2" s="145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82</v>
      </c>
      <c r="K3" s="22" t="s">
        <v>4</v>
      </c>
      <c r="L3" s="22" t="s">
        <v>57</v>
      </c>
      <c r="M3" s="29" t="s">
        <v>5</v>
      </c>
      <c r="N3" s="29" t="s">
        <v>92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46" t="s">
        <v>47</v>
      </c>
      <c r="V3" s="147"/>
      <c r="W3" s="93" t="s">
        <v>27</v>
      </c>
    </row>
    <row r="4" spans="1:23" ht="12.75">
      <c r="A4" s="108">
        <v>43587</v>
      </c>
      <c r="B4" s="65">
        <v>1850.5</v>
      </c>
      <c r="C4" s="79">
        <v>727.6</v>
      </c>
      <c r="D4" s="106">
        <v>16.7</v>
      </c>
      <c r="E4" s="106">
        <f>C4-D4</f>
        <v>710.9</v>
      </c>
      <c r="F4" s="65">
        <v>43.7</v>
      </c>
      <c r="G4" s="65">
        <v>216.5</v>
      </c>
      <c r="H4" s="67">
        <v>2017.5</v>
      </c>
      <c r="I4" s="78">
        <v>111.9</v>
      </c>
      <c r="J4" s="78">
        <v>7.7</v>
      </c>
      <c r="K4" s="78">
        <v>0</v>
      </c>
      <c r="L4" s="65">
        <v>1117.2</v>
      </c>
      <c r="M4" s="65">
        <f aca="true" t="shared" si="0" ref="M4:M25">N4-B4-C4-F4-G4-H4-I4-J4-K4-L4</f>
        <v>20.09999999999991</v>
      </c>
      <c r="N4" s="65">
        <v>6112.7</v>
      </c>
      <c r="O4" s="65">
        <v>6000</v>
      </c>
      <c r="P4" s="3">
        <f aca="true" t="shared" si="1" ref="P4:P25">N4/O4</f>
        <v>1.0187833333333334</v>
      </c>
      <c r="Q4" s="2">
        <f>AVERAGE(N4:N25)</f>
        <v>7546.541818181819</v>
      </c>
      <c r="R4" s="94">
        <v>0</v>
      </c>
      <c r="S4" s="95">
        <v>0</v>
      </c>
      <c r="T4" s="96">
        <v>0</v>
      </c>
      <c r="U4" s="148">
        <v>0</v>
      </c>
      <c r="V4" s="149"/>
      <c r="W4" s="97">
        <f>R4+S4+U4+T4+V4</f>
        <v>0</v>
      </c>
    </row>
    <row r="5" spans="1:23" ht="12.75">
      <c r="A5" s="10">
        <v>43588</v>
      </c>
      <c r="B5" s="65">
        <v>4516.4</v>
      </c>
      <c r="C5" s="79">
        <v>286.7</v>
      </c>
      <c r="D5" s="106">
        <v>10.3</v>
      </c>
      <c r="E5" s="106">
        <f aca="true" t="shared" si="2" ref="E5:E25">C5-D5</f>
        <v>276.4</v>
      </c>
      <c r="F5" s="65">
        <v>34.2</v>
      </c>
      <c r="G5" s="65">
        <v>175.1</v>
      </c>
      <c r="H5" s="79">
        <v>1509.5</v>
      </c>
      <c r="I5" s="78">
        <v>84.3</v>
      </c>
      <c r="J5" s="78">
        <v>20.2</v>
      </c>
      <c r="K5" s="78">
        <v>0</v>
      </c>
      <c r="L5" s="65">
        <v>0</v>
      </c>
      <c r="M5" s="65">
        <f t="shared" si="0"/>
        <v>14.800000000000185</v>
      </c>
      <c r="N5" s="65">
        <v>6641.2</v>
      </c>
      <c r="O5" s="65">
        <v>3000</v>
      </c>
      <c r="P5" s="3">
        <f t="shared" si="1"/>
        <v>2.2137333333333333</v>
      </c>
      <c r="Q5" s="2">
        <v>7546.5</v>
      </c>
      <c r="R5" s="69">
        <v>0</v>
      </c>
      <c r="S5" s="65">
        <v>0</v>
      </c>
      <c r="T5" s="70">
        <v>0</v>
      </c>
      <c r="U5" s="111">
        <v>0</v>
      </c>
      <c r="V5" s="112"/>
      <c r="W5" s="68">
        <f aca="true" t="shared" si="3" ref="W5:W25">R5+S5+U5+T5+V5</f>
        <v>0</v>
      </c>
    </row>
    <row r="6" spans="1:23" ht="12.75">
      <c r="A6" s="10">
        <v>43591</v>
      </c>
      <c r="B6" s="65">
        <v>4434.9</v>
      </c>
      <c r="C6" s="79">
        <v>456.3</v>
      </c>
      <c r="D6" s="106">
        <v>10.4</v>
      </c>
      <c r="E6" s="106">
        <f t="shared" si="2"/>
        <v>445.90000000000003</v>
      </c>
      <c r="F6" s="72">
        <v>29.1</v>
      </c>
      <c r="G6" s="65">
        <v>195.6</v>
      </c>
      <c r="H6" s="80">
        <v>2255.3</v>
      </c>
      <c r="I6" s="78">
        <v>64.8</v>
      </c>
      <c r="J6" s="78">
        <v>80</v>
      </c>
      <c r="K6" s="78">
        <v>616.1</v>
      </c>
      <c r="L6" s="78">
        <v>0</v>
      </c>
      <c r="M6" s="65">
        <f t="shared" si="0"/>
        <v>44.00000000000057</v>
      </c>
      <c r="N6" s="65">
        <v>8176.1</v>
      </c>
      <c r="O6" s="65">
        <v>4100</v>
      </c>
      <c r="P6" s="3">
        <f t="shared" si="1"/>
        <v>1.9941707317073172</v>
      </c>
      <c r="Q6" s="2">
        <v>7546.5</v>
      </c>
      <c r="R6" s="71">
        <v>0</v>
      </c>
      <c r="S6" s="72">
        <v>0</v>
      </c>
      <c r="T6" s="73">
        <v>0</v>
      </c>
      <c r="U6" s="132">
        <v>1</v>
      </c>
      <c r="V6" s="133"/>
      <c r="W6" s="68">
        <f t="shared" si="3"/>
        <v>1</v>
      </c>
    </row>
    <row r="7" spans="1:23" ht="12.75">
      <c r="A7" s="10">
        <v>43592</v>
      </c>
      <c r="B7" s="77">
        <v>12696.8</v>
      </c>
      <c r="C7" s="79">
        <v>377.7</v>
      </c>
      <c r="D7" s="106">
        <v>20.2</v>
      </c>
      <c r="E7" s="106">
        <f t="shared" si="2"/>
        <v>357.5</v>
      </c>
      <c r="F7" s="65">
        <v>57.6</v>
      </c>
      <c r="G7" s="65">
        <v>147.1</v>
      </c>
      <c r="H7" s="79">
        <v>2858.1</v>
      </c>
      <c r="I7" s="78">
        <v>87.1</v>
      </c>
      <c r="J7" s="78">
        <v>56.3</v>
      </c>
      <c r="K7" s="78">
        <v>0</v>
      </c>
      <c r="L7" s="78">
        <v>0</v>
      </c>
      <c r="M7" s="65">
        <f t="shared" si="0"/>
        <v>43.10000000000046</v>
      </c>
      <c r="N7" s="65">
        <v>16323.8</v>
      </c>
      <c r="O7" s="65">
        <v>18500</v>
      </c>
      <c r="P7" s="3">
        <f t="shared" si="1"/>
        <v>0.8823675675675675</v>
      </c>
      <c r="Q7" s="2">
        <v>7546.5</v>
      </c>
      <c r="R7" s="71">
        <v>0</v>
      </c>
      <c r="S7" s="72">
        <v>0</v>
      </c>
      <c r="T7" s="73">
        <v>45.2</v>
      </c>
      <c r="U7" s="132">
        <v>0</v>
      </c>
      <c r="V7" s="133"/>
      <c r="W7" s="68">
        <f t="shared" si="3"/>
        <v>45.2</v>
      </c>
    </row>
    <row r="8" spans="1:23" ht="12.75">
      <c r="A8" s="10">
        <v>43593</v>
      </c>
      <c r="B8" s="65">
        <v>5897.6</v>
      </c>
      <c r="C8" s="70">
        <v>206.4</v>
      </c>
      <c r="D8" s="106">
        <v>17.6</v>
      </c>
      <c r="E8" s="106">
        <f t="shared" si="2"/>
        <v>188.8</v>
      </c>
      <c r="F8" s="78">
        <v>51</v>
      </c>
      <c r="G8" s="78">
        <v>235.2</v>
      </c>
      <c r="H8" s="65">
        <v>2721.4</v>
      </c>
      <c r="I8" s="78">
        <v>124</v>
      </c>
      <c r="J8" s="78">
        <v>76.8</v>
      </c>
      <c r="K8" s="78">
        <v>0</v>
      </c>
      <c r="L8" s="78">
        <v>0</v>
      </c>
      <c r="M8" s="65">
        <f t="shared" si="0"/>
        <v>151.95</v>
      </c>
      <c r="N8" s="65">
        <v>9464.35</v>
      </c>
      <c r="O8" s="65">
        <v>8800</v>
      </c>
      <c r="P8" s="3">
        <f t="shared" si="1"/>
        <v>1.0754943181818182</v>
      </c>
      <c r="Q8" s="2">
        <v>7546.5</v>
      </c>
      <c r="R8" s="71">
        <v>0</v>
      </c>
      <c r="S8" s="72">
        <v>0</v>
      </c>
      <c r="T8" s="70">
        <v>0</v>
      </c>
      <c r="U8" s="111">
        <v>0</v>
      </c>
      <c r="V8" s="112"/>
      <c r="W8" s="68">
        <f t="shared" si="3"/>
        <v>0</v>
      </c>
    </row>
    <row r="9" spans="1:23" ht="12.75">
      <c r="A9" s="10">
        <v>43595</v>
      </c>
      <c r="B9" s="65">
        <v>684.2</v>
      </c>
      <c r="C9" s="70">
        <v>600</v>
      </c>
      <c r="D9" s="106">
        <v>24.9</v>
      </c>
      <c r="E9" s="106">
        <f t="shared" si="2"/>
        <v>575.1</v>
      </c>
      <c r="F9" s="78">
        <v>10.5</v>
      </c>
      <c r="G9" s="82">
        <v>146.6</v>
      </c>
      <c r="H9" s="65">
        <v>2840</v>
      </c>
      <c r="I9" s="78">
        <v>64.1</v>
      </c>
      <c r="J9" s="78">
        <v>39.5</v>
      </c>
      <c r="K9" s="78">
        <v>0</v>
      </c>
      <c r="L9" s="78">
        <v>0</v>
      </c>
      <c r="M9" s="65">
        <f t="shared" si="0"/>
        <v>44.10000000000028</v>
      </c>
      <c r="N9" s="65">
        <v>4429</v>
      </c>
      <c r="O9" s="65">
        <v>7000</v>
      </c>
      <c r="P9" s="3">
        <f t="shared" si="1"/>
        <v>0.6327142857142857</v>
      </c>
      <c r="Q9" s="2">
        <v>7546.5</v>
      </c>
      <c r="R9" s="71">
        <v>0</v>
      </c>
      <c r="S9" s="72">
        <v>0</v>
      </c>
      <c r="T9" s="70">
        <v>0</v>
      </c>
      <c r="U9" s="111">
        <v>0</v>
      </c>
      <c r="V9" s="112"/>
      <c r="W9" s="68">
        <f t="shared" si="3"/>
        <v>0</v>
      </c>
    </row>
    <row r="10" spans="1:23" ht="12.75">
      <c r="A10" s="10">
        <v>43596</v>
      </c>
      <c r="B10" s="65">
        <v>714.7</v>
      </c>
      <c r="C10" s="70">
        <v>165.8</v>
      </c>
      <c r="D10" s="106">
        <v>2.7</v>
      </c>
      <c r="E10" s="106">
        <f t="shared" si="2"/>
        <v>163.10000000000002</v>
      </c>
      <c r="F10" s="78">
        <v>20.2</v>
      </c>
      <c r="G10" s="78">
        <v>145</v>
      </c>
      <c r="H10" s="65">
        <v>450.4</v>
      </c>
      <c r="I10" s="78">
        <v>61</v>
      </c>
      <c r="J10" s="78">
        <v>6</v>
      </c>
      <c r="K10" s="78">
        <v>0</v>
      </c>
      <c r="L10" s="78">
        <v>0</v>
      </c>
      <c r="M10" s="65">
        <f t="shared" si="0"/>
        <v>33.10000000000002</v>
      </c>
      <c r="N10" s="65">
        <v>1596.2</v>
      </c>
      <c r="O10" s="72">
        <v>3200</v>
      </c>
      <c r="P10" s="3">
        <f t="shared" si="1"/>
        <v>0.4988125</v>
      </c>
      <c r="Q10" s="2">
        <v>7546.5</v>
      </c>
      <c r="R10" s="71">
        <v>0</v>
      </c>
      <c r="S10" s="72">
        <v>0</v>
      </c>
      <c r="T10" s="70">
        <v>0</v>
      </c>
      <c r="U10" s="111">
        <v>0</v>
      </c>
      <c r="V10" s="112"/>
      <c r="W10" s="68">
        <f>R10+S10+U10+T10+V10</f>
        <v>0</v>
      </c>
    </row>
    <row r="11" spans="1:23" ht="12.75">
      <c r="A11" s="10">
        <v>43598</v>
      </c>
      <c r="B11" s="65">
        <v>1754.2</v>
      </c>
      <c r="C11" s="70">
        <v>272.9</v>
      </c>
      <c r="D11" s="106">
        <v>94.8</v>
      </c>
      <c r="E11" s="106">
        <f t="shared" si="2"/>
        <v>178.09999999999997</v>
      </c>
      <c r="F11" s="78">
        <v>48.4</v>
      </c>
      <c r="G11" s="78">
        <v>498.2</v>
      </c>
      <c r="H11" s="65">
        <v>2512.6</v>
      </c>
      <c r="I11" s="78">
        <v>5</v>
      </c>
      <c r="J11" s="78">
        <v>6</v>
      </c>
      <c r="K11" s="78">
        <v>0</v>
      </c>
      <c r="L11" s="78">
        <v>0</v>
      </c>
      <c r="M11" s="65">
        <f t="shared" si="0"/>
        <v>24.000000000000455</v>
      </c>
      <c r="N11" s="65">
        <v>5121.3</v>
      </c>
      <c r="O11" s="65">
        <v>4900</v>
      </c>
      <c r="P11" s="3">
        <f t="shared" si="1"/>
        <v>1.0451632653061225</v>
      </c>
      <c r="Q11" s="2">
        <v>7546.5</v>
      </c>
      <c r="R11" s="69">
        <v>0</v>
      </c>
      <c r="S11" s="65">
        <v>0</v>
      </c>
      <c r="T11" s="70">
        <v>668.6</v>
      </c>
      <c r="U11" s="111">
        <v>0</v>
      </c>
      <c r="V11" s="112"/>
      <c r="W11" s="68">
        <f t="shared" si="3"/>
        <v>668.6</v>
      </c>
    </row>
    <row r="12" spans="1:23" ht="12.75">
      <c r="A12" s="10">
        <v>43599</v>
      </c>
      <c r="B12" s="77">
        <v>4131.9</v>
      </c>
      <c r="C12" s="70">
        <v>250.3</v>
      </c>
      <c r="D12" s="106">
        <v>46.2</v>
      </c>
      <c r="E12" s="106">
        <f t="shared" si="2"/>
        <v>204.10000000000002</v>
      </c>
      <c r="F12" s="78">
        <v>20.6</v>
      </c>
      <c r="G12" s="78">
        <v>298.7</v>
      </c>
      <c r="H12" s="65">
        <v>2814.3</v>
      </c>
      <c r="I12" s="78">
        <v>71.1</v>
      </c>
      <c r="J12" s="78">
        <v>11.9</v>
      </c>
      <c r="K12" s="78">
        <v>0</v>
      </c>
      <c r="L12" s="78">
        <v>0</v>
      </c>
      <c r="M12" s="65">
        <f t="shared" si="0"/>
        <v>36.25000000000046</v>
      </c>
      <c r="N12" s="65">
        <v>7635.05</v>
      </c>
      <c r="O12" s="65">
        <v>7800</v>
      </c>
      <c r="P12" s="3">
        <f t="shared" si="1"/>
        <v>0.9788525641025642</v>
      </c>
      <c r="Q12" s="2">
        <v>7546.5</v>
      </c>
      <c r="R12" s="69">
        <v>0</v>
      </c>
      <c r="S12" s="65">
        <v>0</v>
      </c>
      <c r="T12" s="70">
        <v>0</v>
      </c>
      <c r="U12" s="111">
        <v>0</v>
      </c>
      <c r="V12" s="112"/>
      <c r="W12" s="68">
        <f t="shared" si="3"/>
        <v>0</v>
      </c>
    </row>
    <row r="13" spans="1:23" ht="12.75">
      <c r="A13" s="10">
        <v>43600</v>
      </c>
      <c r="B13" s="65">
        <v>7971.1</v>
      </c>
      <c r="C13" s="70">
        <v>279.1</v>
      </c>
      <c r="D13" s="106">
        <v>16.8</v>
      </c>
      <c r="E13" s="106">
        <f t="shared" si="2"/>
        <v>262.3</v>
      </c>
      <c r="F13" s="78">
        <v>32.6</v>
      </c>
      <c r="G13" s="78">
        <v>536.8</v>
      </c>
      <c r="H13" s="65">
        <v>3323</v>
      </c>
      <c r="I13" s="78">
        <v>53.4</v>
      </c>
      <c r="J13" s="78">
        <v>6.8</v>
      </c>
      <c r="K13" s="78">
        <v>0</v>
      </c>
      <c r="L13" s="78">
        <v>0</v>
      </c>
      <c r="M13" s="65">
        <f t="shared" si="0"/>
        <v>207.09999999999835</v>
      </c>
      <c r="N13" s="65">
        <v>12409.9</v>
      </c>
      <c r="O13" s="65">
        <v>16000</v>
      </c>
      <c r="P13" s="3">
        <f t="shared" si="1"/>
        <v>0.77561875</v>
      </c>
      <c r="Q13" s="2">
        <v>7546.5</v>
      </c>
      <c r="R13" s="69">
        <v>0</v>
      </c>
      <c r="S13" s="65">
        <v>0</v>
      </c>
      <c r="T13" s="70">
        <v>44.8</v>
      </c>
      <c r="U13" s="111">
        <v>0</v>
      </c>
      <c r="V13" s="112"/>
      <c r="W13" s="68">
        <f t="shared" si="3"/>
        <v>44.8</v>
      </c>
    </row>
    <row r="14" spans="1:23" ht="12.75">
      <c r="A14" s="10">
        <v>43601</v>
      </c>
      <c r="B14" s="65">
        <v>2378.4</v>
      </c>
      <c r="C14" s="70">
        <v>210.3</v>
      </c>
      <c r="D14" s="106">
        <v>67.6</v>
      </c>
      <c r="E14" s="106">
        <f t="shared" si="2"/>
        <v>142.70000000000002</v>
      </c>
      <c r="F14" s="78">
        <v>52.6</v>
      </c>
      <c r="G14" s="78">
        <v>262.2</v>
      </c>
      <c r="H14" s="65">
        <v>4059.6</v>
      </c>
      <c r="I14" s="78">
        <v>130.7</v>
      </c>
      <c r="J14" s="78">
        <v>11.5</v>
      </c>
      <c r="K14" s="78">
        <v>0</v>
      </c>
      <c r="L14" s="78">
        <v>0</v>
      </c>
      <c r="M14" s="65">
        <f t="shared" si="0"/>
        <v>33.550000000000466</v>
      </c>
      <c r="N14" s="65">
        <v>7138.85</v>
      </c>
      <c r="O14" s="65">
        <v>7500</v>
      </c>
      <c r="P14" s="3">
        <f t="shared" si="1"/>
        <v>0.9518466666666667</v>
      </c>
      <c r="Q14" s="2">
        <v>7546.5</v>
      </c>
      <c r="R14" s="69">
        <v>0</v>
      </c>
      <c r="S14" s="65">
        <v>0</v>
      </c>
      <c r="T14" s="74">
        <v>0</v>
      </c>
      <c r="U14" s="111">
        <v>0</v>
      </c>
      <c r="V14" s="112"/>
      <c r="W14" s="68">
        <f t="shared" si="3"/>
        <v>0</v>
      </c>
    </row>
    <row r="15" spans="1:23" ht="12.75">
      <c r="A15" s="10">
        <v>43602</v>
      </c>
      <c r="B15" s="65">
        <v>2676.2</v>
      </c>
      <c r="C15" s="66">
        <v>308.2</v>
      </c>
      <c r="D15" s="106">
        <v>84</v>
      </c>
      <c r="E15" s="106">
        <f t="shared" si="2"/>
        <v>224.2</v>
      </c>
      <c r="F15" s="81">
        <v>68.1</v>
      </c>
      <c r="G15" s="81">
        <v>468.1</v>
      </c>
      <c r="H15" s="82">
        <v>4716.6</v>
      </c>
      <c r="I15" s="81">
        <v>89.6</v>
      </c>
      <c r="J15" s="81">
        <v>8.4</v>
      </c>
      <c r="K15" s="81">
        <v>0</v>
      </c>
      <c r="L15" s="81">
        <v>0</v>
      </c>
      <c r="M15" s="65">
        <f t="shared" si="0"/>
        <v>48.50000000000001</v>
      </c>
      <c r="N15" s="65">
        <v>8383.7</v>
      </c>
      <c r="O15" s="72">
        <v>7800</v>
      </c>
      <c r="P15" s="3">
        <f>N15/O15</f>
        <v>1.0748333333333335</v>
      </c>
      <c r="Q15" s="2">
        <v>7546.5</v>
      </c>
      <c r="R15" s="69">
        <v>0</v>
      </c>
      <c r="S15" s="65">
        <v>0</v>
      </c>
      <c r="T15" s="74">
        <v>0</v>
      </c>
      <c r="U15" s="111">
        <v>0</v>
      </c>
      <c r="V15" s="112"/>
      <c r="W15" s="68">
        <f t="shared" si="3"/>
        <v>0</v>
      </c>
    </row>
    <row r="16" spans="1:23" ht="12.75">
      <c r="A16" s="10">
        <v>43605</v>
      </c>
      <c r="B16" s="65">
        <v>5256.1</v>
      </c>
      <c r="C16" s="70">
        <v>642.6</v>
      </c>
      <c r="D16" s="106">
        <v>193.6</v>
      </c>
      <c r="E16" s="106">
        <f t="shared" si="2"/>
        <v>449</v>
      </c>
      <c r="F16" s="78">
        <v>56.9</v>
      </c>
      <c r="G16" s="78">
        <v>419</v>
      </c>
      <c r="H16" s="65">
        <v>2654.4</v>
      </c>
      <c r="I16" s="78">
        <v>121.4</v>
      </c>
      <c r="J16" s="78">
        <v>7.4</v>
      </c>
      <c r="K16" s="78">
        <v>0</v>
      </c>
      <c r="L16" s="78">
        <v>0</v>
      </c>
      <c r="M16" s="65">
        <f t="shared" si="0"/>
        <v>16.94999999999954</v>
      </c>
      <c r="N16" s="65">
        <v>9174.75</v>
      </c>
      <c r="O16" s="72">
        <v>10000</v>
      </c>
      <c r="P16" s="3">
        <f t="shared" si="1"/>
        <v>0.917475</v>
      </c>
      <c r="Q16" s="2">
        <v>7546.5</v>
      </c>
      <c r="R16" s="69">
        <v>0</v>
      </c>
      <c r="S16" s="65">
        <v>0</v>
      </c>
      <c r="T16" s="74">
        <v>0</v>
      </c>
      <c r="U16" s="111">
        <v>0</v>
      </c>
      <c r="V16" s="112"/>
      <c r="W16" s="68">
        <f t="shared" si="3"/>
        <v>0</v>
      </c>
    </row>
    <row r="17" spans="1:23" ht="12.75">
      <c r="A17" s="10">
        <v>43606</v>
      </c>
      <c r="B17" s="65">
        <v>4508.4</v>
      </c>
      <c r="C17" s="70">
        <v>136.7</v>
      </c>
      <c r="D17" s="106">
        <v>13.1</v>
      </c>
      <c r="E17" s="106">
        <f t="shared" si="2"/>
        <v>123.6</v>
      </c>
      <c r="F17" s="78">
        <v>50.55</v>
      </c>
      <c r="G17" s="78">
        <v>489.75</v>
      </c>
      <c r="H17" s="65">
        <v>742.1</v>
      </c>
      <c r="I17" s="78">
        <v>44.75</v>
      </c>
      <c r="J17" s="78">
        <v>8.2</v>
      </c>
      <c r="K17" s="78">
        <v>0</v>
      </c>
      <c r="L17" s="78">
        <v>0</v>
      </c>
      <c r="M17" s="65">
        <f t="shared" si="0"/>
        <v>20.30000000000034</v>
      </c>
      <c r="N17" s="65">
        <v>6000.75</v>
      </c>
      <c r="O17" s="65">
        <v>10500</v>
      </c>
      <c r="P17" s="3">
        <f t="shared" si="1"/>
        <v>0.5715</v>
      </c>
      <c r="Q17" s="2">
        <v>7546.5</v>
      </c>
      <c r="R17" s="69">
        <v>0</v>
      </c>
      <c r="S17" s="65">
        <v>0</v>
      </c>
      <c r="T17" s="74">
        <v>0</v>
      </c>
      <c r="U17" s="111">
        <v>0</v>
      </c>
      <c r="V17" s="112"/>
      <c r="W17" s="68">
        <f t="shared" si="3"/>
        <v>0</v>
      </c>
    </row>
    <row r="18" spans="1:23" ht="12.75">
      <c r="A18" s="10">
        <v>43607</v>
      </c>
      <c r="B18" s="65">
        <v>4835.4</v>
      </c>
      <c r="C18" s="70">
        <v>176.3</v>
      </c>
      <c r="D18" s="106">
        <v>16.9</v>
      </c>
      <c r="E18" s="106">
        <f t="shared" si="2"/>
        <v>159.4</v>
      </c>
      <c r="F18" s="78">
        <v>75.1</v>
      </c>
      <c r="G18" s="78">
        <v>618.3</v>
      </c>
      <c r="H18" s="65">
        <v>538.2</v>
      </c>
      <c r="I18" s="78">
        <v>113.5</v>
      </c>
      <c r="J18" s="78">
        <v>24.1</v>
      </c>
      <c r="K18" s="78">
        <v>0</v>
      </c>
      <c r="L18" s="78">
        <v>0</v>
      </c>
      <c r="M18" s="65">
        <f>N18-B18-C18-F18-G18-H18-I18-J18-K18-L18</f>
        <v>24.800000000000317</v>
      </c>
      <c r="N18" s="65">
        <v>6405.7</v>
      </c>
      <c r="O18" s="65">
        <v>8500</v>
      </c>
      <c r="P18" s="3">
        <f>N18/O18</f>
        <v>0.7536117647058823</v>
      </c>
      <c r="Q18" s="2">
        <v>7546.5</v>
      </c>
      <c r="R18" s="69">
        <v>0</v>
      </c>
      <c r="S18" s="65">
        <v>0</v>
      </c>
      <c r="T18" s="70">
        <v>0</v>
      </c>
      <c r="U18" s="111">
        <v>0</v>
      </c>
      <c r="V18" s="112"/>
      <c r="W18" s="68">
        <f t="shared" si="3"/>
        <v>0</v>
      </c>
    </row>
    <row r="19" spans="1:23" ht="12.75">
      <c r="A19" s="10">
        <v>43608</v>
      </c>
      <c r="B19" s="65">
        <v>2959.3</v>
      </c>
      <c r="C19" s="70">
        <v>399.4</v>
      </c>
      <c r="D19" s="106">
        <v>89.5</v>
      </c>
      <c r="E19" s="106">
        <f t="shared" si="2"/>
        <v>309.9</v>
      </c>
      <c r="F19" s="78">
        <v>113.5</v>
      </c>
      <c r="G19" s="78">
        <v>633.8</v>
      </c>
      <c r="H19" s="65">
        <v>224</v>
      </c>
      <c r="I19" s="78">
        <v>55.8</v>
      </c>
      <c r="J19" s="78">
        <v>16.7</v>
      </c>
      <c r="K19" s="78">
        <v>0</v>
      </c>
      <c r="L19" s="78">
        <v>0</v>
      </c>
      <c r="M19" s="65">
        <f>N19-B19-C19-F19-G19-H19-I19-J19-K19-L19</f>
        <v>4.85000000000014</v>
      </c>
      <c r="N19" s="65">
        <v>4407.35</v>
      </c>
      <c r="O19" s="65">
        <v>4600</v>
      </c>
      <c r="P19" s="3">
        <f t="shared" si="1"/>
        <v>0.9581195652173914</v>
      </c>
      <c r="Q19" s="2">
        <v>7546.5</v>
      </c>
      <c r="R19" s="69">
        <v>0</v>
      </c>
      <c r="S19" s="65">
        <v>0</v>
      </c>
      <c r="T19" s="70">
        <v>0</v>
      </c>
      <c r="U19" s="111">
        <v>0</v>
      </c>
      <c r="V19" s="112"/>
      <c r="W19" s="68">
        <f t="shared" si="3"/>
        <v>0</v>
      </c>
    </row>
    <row r="20" spans="1:23" ht="12.75">
      <c r="A20" s="10">
        <v>43609</v>
      </c>
      <c r="B20" s="65">
        <v>2836.7</v>
      </c>
      <c r="C20" s="70">
        <v>386.8</v>
      </c>
      <c r="D20" s="106">
        <v>161.4</v>
      </c>
      <c r="E20" s="106">
        <f t="shared" si="2"/>
        <v>225.4</v>
      </c>
      <c r="F20" s="78">
        <v>35.55</v>
      </c>
      <c r="G20" s="65">
        <v>1261.3</v>
      </c>
      <c r="H20" s="65">
        <v>245.4</v>
      </c>
      <c r="I20" s="78">
        <v>96.1</v>
      </c>
      <c r="J20" s="78">
        <v>10.2</v>
      </c>
      <c r="K20" s="78">
        <v>0</v>
      </c>
      <c r="L20" s="78">
        <v>0</v>
      </c>
      <c r="M20" s="65">
        <f t="shared" si="0"/>
        <v>31.349999999999955</v>
      </c>
      <c r="N20" s="65">
        <v>4903.4</v>
      </c>
      <c r="O20" s="65">
        <v>3300</v>
      </c>
      <c r="P20" s="3">
        <f t="shared" si="1"/>
        <v>1.4858787878787878</v>
      </c>
      <c r="Q20" s="2">
        <v>7546.5</v>
      </c>
      <c r="R20" s="69">
        <v>0</v>
      </c>
      <c r="S20" s="65">
        <v>0</v>
      </c>
      <c r="T20" s="70">
        <v>0</v>
      </c>
      <c r="U20" s="111">
        <v>0</v>
      </c>
      <c r="V20" s="112"/>
      <c r="W20" s="68">
        <f t="shared" si="3"/>
        <v>0</v>
      </c>
    </row>
    <row r="21" spans="1:23" ht="12.75">
      <c r="A21" s="10">
        <v>43612</v>
      </c>
      <c r="B21" s="65">
        <v>1088.4</v>
      </c>
      <c r="C21" s="70">
        <v>1523.1</v>
      </c>
      <c r="D21" s="106">
        <v>1193.6</v>
      </c>
      <c r="E21" s="106">
        <f t="shared" si="2"/>
        <v>329.5</v>
      </c>
      <c r="F21" s="78">
        <v>45.6</v>
      </c>
      <c r="G21" s="65">
        <v>1710.8</v>
      </c>
      <c r="H21" s="65">
        <v>258</v>
      </c>
      <c r="I21" s="78">
        <v>128.3</v>
      </c>
      <c r="J21" s="78">
        <v>9.1</v>
      </c>
      <c r="K21" s="78">
        <v>0</v>
      </c>
      <c r="L21" s="78">
        <v>0</v>
      </c>
      <c r="M21" s="65">
        <f t="shared" si="0"/>
        <v>12.840000000000453</v>
      </c>
      <c r="N21" s="65">
        <v>4776.14</v>
      </c>
      <c r="O21" s="65">
        <v>5300</v>
      </c>
      <c r="P21" s="3">
        <f t="shared" si="1"/>
        <v>0.9011584905660378</v>
      </c>
      <c r="Q21" s="2">
        <v>7546.5</v>
      </c>
      <c r="R21" s="102">
        <v>0</v>
      </c>
      <c r="S21" s="103">
        <v>0</v>
      </c>
      <c r="T21" s="104">
        <v>0</v>
      </c>
      <c r="U21" s="111">
        <v>0</v>
      </c>
      <c r="V21" s="112"/>
      <c r="W21" s="68">
        <f t="shared" si="3"/>
        <v>0</v>
      </c>
    </row>
    <row r="22" spans="1:23" ht="12.75">
      <c r="A22" s="10">
        <v>43613</v>
      </c>
      <c r="B22" s="65">
        <v>1154.3</v>
      </c>
      <c r="C22" s="70">
        <v>1685.9</v>
      </c>
      <c r="D22" s="106">
        <v>1245.6</v>
      </c>
      <c r="E22" s="106">
        <f t="shared" si="2"/>
        <v>440.3000000000002</v>
      </c>
      <c r="F22" s="78">
        <v>8.3</v>
      </c>
      <c r="G22" s="65">
        <v>1632.95</v>
      </c>
      <c r="H22" s="65">
        <v>274.7</v>
      </c>
      <c r="I22" s="78">
        <v>118.1</v>
      </c>
      <c r="J22" s="78">
        <v>4.7</v>
      </c>
      <c r="K22" s="78">
        <v>0</v>
      </c>
      <c r="L22" s="78">
        <v>0</v>
      </c>
      <c r="M22" s="65">
        <f t="shared" si="0"/>
        <v>60.789999999999296</v>
      </c>
      <c r="N22" s="65">
        <v>4939.74</v>
      </c>
      <c r="O22" s="65">
        <v>5800</v>
      </c>
      <c r="P22" s="3">
        <f t="shared" si="1"/>
        <v>0.8516793103448276</v>
      </c>
      <c r="Q22" s="2">
        <v>7546.5</v>
      </c>
      <c r="R22" s="102">
        <v>0</v>
      </c>
      <c r="S22" s="103">
        <v>0.01</v>
      </c>
      <c r="T22" s="104">
        <v>167.93</v>
      </c>
      <c r="U22" s="111">
        <v>0</v>
      </c>
      <c r="V22" s="112"/>
      <c r="W22" s="68">
        <f t="shared" si="3"/>
        <v>167.94</v>
      </c>
    </row>
    <row r="23" spans="1:23" ht="12.75">
      <c r="A23" s="10">
        <v>43614</v>
      </c>
      <c r="B23" s="65">
        <v>7160.3</v>
      </c>
      <c r="C23" s="70">
        <v>1380.2</v>
      </c>
      <c r="D23" s="106">
        <v>984.8</v>
      </c>
      <c r="E23" s="106">
        <f t="shared" si="2"/>
        <v>395.4000000000001</v>
      </c>
      <c r="F23" s="78">
        <v>75</v>
      </c>
      <c r="G23" s="65">
        <v>1521</v>
      </c>
      <c r="H23" s="65">
        <v>130.3</v>
      </c>
      <c r="I23" s="78">
        <v>59.3</v>
      </c>
      <c r="J23" s="78">
        <v>7.1</v>
      </c>
      <c r="K23" s="78">
        <v>0</v>
      </c>
      <c r="L23" s="78">
        <v>0</v>
      </c>
      <c r="M23" s="65">
        <f t="shared" si="0"/>
        <v>45.74000000000027</v>
      </c>
      <c r="N23" s="65">
        <v>10378.94</v>
      </c>
      <c r="O23" s="65">
        <v>9800</v>
      </c>
      <c r="P23" s="3">
        <f>N23/O23</f>
        <v>1.0590755102040816</v>
      </c>
      <c r="Q23" s="2">
        <v>7546.5</v>
      </c>
      <c r="R23" s="102">
        <v>0</v>
      </c>
      <c r="S23" s="103">
        <v>0.03</v>
      </c>
      <c r="T23" s="104">
        <v>0</v>
      </c>
      <c r="U23" s="111">
        <v>0</v>
      </c>
      <c r="V23" s="112"/>
      <c r="W23" s="68">
        <f t="shared" si="3"/>
        <v>0.03</v>
      </c>
    </row>
    <row r="24" spans="1:23" ht="12.75">
      <c r="A24" s="10">
        <v>43615</v>
      </c>
      <c r="B24" s="65">
        <v>10817.8</v>
      </c>
      <c r="C24" s="70">
        <v>741</v>
      </c>
      <c r="D24" s="106">
        <v>528.6</v>
      </c>
      <c r="E24" s="106">
        <f t="shared" si="2"/>
        <v>212.39999999999998</v>
      </c>
      <c r="F24" s="78">
        <v>71.3</v>
      </c>
      <c r="G24" s="65">
        <v>2944.4</v>
      </c>
      <c r="H24" s="65">
        <v>286.6</v>
      </c>
      <c r="I24" s="78">
        <v>26.9</v>
      </c>
      <c r="J24" s="78">
        <v>26.6</v>
      </c>
      <c r="K24" s="78">
        <v>0</v>
      </c>
      <c r="L24" s="78">
        <v>0</v>
      </c>
      <c r="M24" s="65">
        <f t="shared" si="0"/>
        <v>18.000000000000796</v>
      </c>
      <c r="N24" s="65">
        <v>14932.6</v>
      </c>
      <c r="O24" s="65">
        <v>12100</v>
      </c>
      <c r="P24" s="3">
        <f>N24/O22</f>
        <v>2.574586206896552</v>
      </c>
      <c r="Q24" s="2">
        <v>7546.5</v>
      </c>
      <c r="R24" s="102">
        <v>0</v>
      </c>
      <c r="S24" s="103">
        <v>0</v>
      </c>
      <c r="T24" s="104">
        <v>0</v>
      </c>
      <c r="U24" s="111">
        <v>0</v>
      </c>
      <c r="V24" s="112"/>
      <c r="W24" s="68">
        <f t="shared" si="3"/>
        <v>0</v>
      </c>
    </row>
    <row r="25" spans="1:23" ht="13.5" thickBot="1">
      <c r="A25" s="10">
        <v>43616</v>
      </c>
      <c r="B25" s="65">
        <v>5505.4</v>
      </c>
      <c r="C25" s="74">
        <v>265.5</v>
      </c>
      <c r="D25" s="106">
        <v>13.7</v>
      </c>
      <c r="E25" s="106">
        <f t="shared" si="2"/>
        <v>251.8</v>
      </c>
      <c r="F25" s="78">
        <v>26.8</v>
      </c>
      <c r="G25" s="65">
        <v>219.4</v>
      </c>
      <c r="H25" s="65">
        <v>442.3</v>
      </c>
      <c r="I25" s="78">
        <v>86.6</v>
      </c>
      <c r="J25" s="78">
        <v>103.9</v>
      </c>
      <c r="K25" s="78">
        <v>0</v>
      </c>
      <c r="L25" s="78">
        <v>0</v>
      </c>
      <c r="M25" s="65">
        <f t="shared" si="0"/>
        <v>22.500000000000057</v>
      </c>
      <c r="N25" s="65">
        <v>6672.4</v>
      </c>
      <c r="O25" s="65">
        <v>8600</v>
      </c>
      <c r="P25" s="3">
        <f t="shared" si="1"/>
        <v>0.775860465116279</v>
      </c>
      <c r="Q25" s="2">
        <v>7546.5</v>
      </c>
      <c r="R25" s="98">
        <v>11.8</v>
      </c>
      <c r="S25" s="99">
        <v>0</v>
      </c>
      <c r="T25" s="100">
        <v>0</v>
      </c>
      <c r="U25" s="126">
        <v>0</v>
      </c>
      <c r="V25" s="127"/>
      <c r="W25" s="68">
        <f t="shared" si="3"/>
        <v>11.8</v>
      </c>
    </row>
    <row r="26" spans="1:23" ht="13.5" thickBot="1">
      <c r="A26" s="83" t="s">
        <v>28</v>
      </c>
      <c r="B26" s="85">
        <f aca="true" t="shared" si="4" ref="B26:O26">SUM(B4:B25)</f>
        <v>95828.99999999999</v>
      </c>
      <c r="C26" s="85">
        <f t="shared" si="4"/>
        <v>11478.800000000001</v>
      </c>
      <c r="D26" s="107">
        <f t="shared" si="4"/>
        <v>4853</v>
      </c>
      <c r="E26" s="107">
        <f t="shared" si="4"/>
        <v>6625.799999999998</v>
      </c>
      <c r="F26" s="85">
        <f t="shared" si="4"/>
        <v>1027.1999999999998</v>
      </c>
      <c r="G26" s="85">
        <f t="shared" si="4"/>
        <v>14775.800000000001</v>
      </c>
      <c r="H26" s="85">
        <f t="shared" si="4"/>
        <v>37874.299999999996</v>
      </c>
      <c r="I26" s="85">
        <f t="shared" si="4"/>
        <v>1797.7499999999998</v>
      </c>
      <c r="J26" s="85">
        <f t="shared" si="4"/>
        <v>549.1</v>
      </c>
      <c r="K26" s="85">
        <f t="shared" si="4"/>
        <v>616.1</v>
      </c>
      <c r="L26" s="85">
        <f t="shared" si="4"/>
        <v>1117.2</v>
      </c>
      <c r="M26" s="84">
        <f t="shared" si="4"/>
        <v>958.6700000000021</v>
      </c>
      <c r="N26" s="84">
        <f t="shared" si="4"/>
        <v>166023.92</v>
      </c>
      <c r="O26" s="84">
        <f t="shared" si="4"/>
        <v>173100</v>
      </c>
      <c r="P26" s="86">
        <f>N26/O26</f>
        <v>0.9591214326978625</v>
      </c>
      <c r="Q26" s="2"/>
      <c r="R26" s="75">
        <f>SUM(R4:R25)</f>
        <v>11.8</v>
      </c>
      <c r="S26" s="75">
        <f>SUM(S4:S25)</f>
        <v>0.04</v>
      </c>
      <c r="T26" s="75">
        <f>SUM(T4:T25)</f>
        <v>926.53</v>
      </c>
      <c r="U26" s="128">
        <f>SUM(U4:U25)</f>
        <v>1</v>
      </c>
      <c r="V26" s="129"/>
      <c r="W26" s="75">
        <f>R26+S26+U26+T26+V26</f>
        <v>939.37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16" t="s">
        <v>33</v>
      </c>
      <c r="S29" s="116"/>
      <c r="T29" s="116"/>
      <c r="U29" s="116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0" t="s">
        <v>29</v>
      </c>
      <c r="S30" s="130"/>
      <c r="T30" s="130"/>
      <c r="U30" s="130"/>
      <c r="V30" s="50"/>
      <c r="W30" s="50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18">
        <v>43617</v>
      </c>
      <c r="S31" s="131">
        <v>28.16056</v>
      </c>
      <c r="T31" s="131"/>
      <c r="U31" s="131"/>
      <c r="V31" s="57"/>
      <c r="W31" s="57"/>
    </row>
    <row r="32" spans="1:23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19"/>
      <c r="S32" s="131"/>
      <c r="T32" s="131"/>
      <c r="U32" s="131"/>
      <c r="V32" s="57"/>
      <c r="W32" s="57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3" t="s">
        <v>34</v>
      </c>
      <c r="T33" s="34" t="s">
        <v>39</v>
      </c>
      <c r="U33" s="48">
        <f>'[1]серпень'!$I$83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13" t="s">
        <v>45</v>
      </c>
      <c r="T34" s="114"/>
      <c r="U34" s="35">
        <f>'[1]серпень'!$I$82</f>
        <v>0</v>
      </c>
      <c r="V34" s="56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15" t="s">
        <v>40</v>
      </c>
      <c r="T35" s="115"/>
      <c r="U35" s="48">
        <f>'[1]серпень'!$I$81</f>
        <v>0</v>
      </c>
      <c r="V35" s="54"/>
      <c r="W35" s="55"/>
    </row>
    <row r="36" spans="1:23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56"/>
      <c r="V36" s="56"/>
      <c r="W36" s="55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16" t="s">
        <v>30</v>
      </c>
      <c r="S39" s="116"/>
      <c r="T39" s="116"/>
      <c r="U39" s="116"/>
      <c r="V39" s="52"/>
      <c r="W39" s="52"/>
    </row>
    <row r="40" spans="1:23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17" t="s">
        <v>31</v>
      </c>
      <c r="S40" s="117"/>
      <c r="T40" s="117"/>
      <c r="U40" s="117"/>
      <c r="V40" s="53"/>
      <c r="W40" s="53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18">
        <v>43617</v>
      </c>
      <c r="S41" s="120">
        <v>40942.50172</v>
      </c>
      <c r="T41" s="121"/>
      <c r="U41" s="122"/>
      <c r="V41" s="51"/>
      <c r="W41" s="51"/>
    </row>
    <row r="42" spans="1:23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19"/>
      <c r="S42" s="123"/>
      <c r="T42" s="124"/>
      <c r="U42" s="125"/>
      <c r="V42" s="51"/>
      <c r="W42" s="5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U5:V5"/>
    <mergeCell ref="U6:V6"/>
    <mergeCell ref="A1:P1"/>
    <mergeCell ref="R1:W1"/>
    <mergeCell ref="A2:P2"/>
    <mergeCell ref="R2:W2"/>
    <mergeCell ref="U3:V3"/>
    <mergeCell ref="U4:V4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5:V25"/>
    <mergeCell ref="U26:V26"/>
    <mergeCell ref="U23:V23"/>
    <mergeCell ref="U24:V24"/>
    <mergeCell ref="R39:U39"/>
    <mergeCell ref="R40:U40"/>
    <mergeCell ref="R41:R42"/>
    <mergeCell ref="S41:U42"/>
    <mergeCell ref="R29:U29"/>
    <mergeCell ref="R30:U30"/>
    <mergeCell ref="R31:R32"/>
    <mergeCell ref="S31:U32"/>
    <mergeCell ref="S34:T34"/>
    <mergeCell ref="S35:T35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4"/>
  <sheetViews>
    <sheetView zoomScalePageLayoutView="0" workbookViewId="0" topLeftCell="A1">
      <pane xSplit="1" ySplit="3" topLeftCell="B1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P2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30" customHeight="1">
      <c r="A1" s="134" t="s">
        <v>95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6"/>
      <c r="Q1" s="1"/>
      <c r="R1" s="137" t="s">
        <v>97</v>
      </c>
      <c r="S1" s="138"/>
      <c r="T1" s="138"/>
      <c r="U1" s="138"/>
      <c r="V1" s="138"/>
      <c r="W1" s="139"/>
    </row>
    <row r="2" spans="1:23" ht="15" thickBot="1">
      <c r="A2" s="140" t="s">
        <v>98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2"/>
      <c r="Q2" s="1"/>
      <c r="R2" s="143" t="s">
        <v>99</v>
      </c>
      <c r="S2" s="144"/>
      <c r="T2" s="144"/>
      <c r="U2" s="144"/>
      <c r="V2" s="144"/>
      <c r="W2" s="145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82</v>
      </c>
      <c r="K3" s="22" t="s">
        <v>4</v>
      </c>
      <c r="L3" s="22" t="s">
        <v>57</v>
      </c>
      <c r="M3" s="29" t="s">
        <v>5</v>
      </c>
      <c r="N3" s="29" t="s">
        <v>96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46" t="s">
        <v>47</v>
      </c>
      <c r="V3" s="147"/>
      <c r="W3" s="93" t="s">
        <v>27</v>
      </c>
    </row>
    <row r="4" spans="1:23" ht="12.75">
      <c r="A4" s="108">
        <v>43619</v>
      </c>
      <c r="B4" s="65">
        <v>1483.8</v>
      </c>
      <c r="C4" s="79">
        <v>395.9</v>
      </c>
      <c r="D4" s="106">
        <v>13.6</v>
      </c>
      <c r="E4" s="106">
        <f>C4-D4</f>
        <v>382.29999999999995</v>
      </c>
      <c r="F4" s="65">
        <v>35.95</v>
      </c>
      <c r="G4" s="65">
        <v>104.6</v>
      </c>
      <c r="H4" s="67">
        <v>539.3</v>
      </c>
      <c r="I4" s="78">
        <v>56.1</v>
      </c>
      <c r="J4" s="78">
        <v>4.5</v>
      </c>
      <c r="K4" s="78">
        <v>0</v>
      </c>
      <c r="L4" s="65">
        <v>1046.2</v>
      </c>
      <c r="M4" s="65">
        <f aca="true" t="shared" si="0" ref="M4:M21">N4-B4-C4-F4-G4-H4-I4-J4-K4-L4</f>
        <v>12.849999999999682</v>
      </c>
      <c r="N4" s="65">
        <v>3679.2</v>
      </c>
      <c r="O4" s="65">
        <v>4500</v>
      </c>
      <c r="P4" s="3">
        <f aca="true" t="shared" si="1" ref="P4:P21">N4/O4</f>
        <v>0.8176</v>
      </c>
      <c r="Q4" s="2">
        <f>AVERAGE(N4:N21)</f>
        <v>8053.8150000000005</v>
      </c>
      <c r="R4" s="94">
        <v>0</v>
      </c>
      <c r="S4" s="95">
        <v>0</v>
      </c>
      <c r="T4" s="96">
        <v>38.3</v>
      </c>
      <c r="U4" s="148">
        <v>0</v>
      </c>
      <c r="V4" s="149"/>
      <c r="W4" s="97">
        <f>R4+S4+U4+T4+V4</f>
        <v>38.3</v>
      </c>
    </row>
    <row r="5" spans="1:23" ht="12.75">
      <c r="A5" s="10">
        <v>43620</v>
      </c>
      <c r="B5" s="65">
        <v>2327</v>
      </c>
      <c r="C5" s="79">
        <v>168</v>
      </c>
      <c r="D5" s="106">
        <v>12.2</v>
      </c>
      <c r="E5" s="106">
        <f aca="true" t="shared" si="2" ref="E5:E21">C5-D5</f>
        <v>155.8</v>
      </c>
      <c r="F5" s="65">
        <v>42.5</v>
      </c>
      <c r="G5" s="65">
        <v>114</v>
      </c>
      <c r="H5" s="79">
        <v>835.3</v>
      </c>
      <c r="I5" s="78">
        <v>109.1</v>
      </c>
      <c r="J5" s="78">
        <v>30.65</v>
      </c>
      <c r="K5" s="78">
        <v>0</v>
      </c>
      <c r="L5" s="65">
        <v>0</v>
      </c>
      <c r="M5" s="65">
        <f t="shared" si="0"/>
        <v>10.049999999999962</v>
      </c>
      <c r="N5" s="65">
        <v>3636.6</v>
      </c>
      <c r="O5" s="65">
        <v>3810</v>
      </c>
      <c r="P5" s="3">
        <f t="shared" si="1"/>
        <v>0.9544881889763779</v>
      </c>
      <c r="Q5" s="2">
        <v>8053.8</v>
      </c>
      <c r="R5" s="69">
        <v>0</v>
      </c>
      <c r="S5" s="65">
        <v>0</v>
      </c>
      <c r="T5" s="70">
        <v>0</v>
      </c>
      <c r="U5" s="111">
        <v>0</v>
      </c>
      <c r="V5" s="112"/>
      <c r="W5" s="68">
        <f aca="true" t="shared" si="3" ref="W5:W21">R5+S5+U5+T5+V5</f>
        <v>0</v>
      </c>
    </row>
    <row r="6" spans="1:23" ht="12.75">
      <c r="A6" s="108">
        <v>43621</v>
      </c>
      <c r="B6" s="65">
        <v>4108.4</v>
      </c>
      <c r="C6" s="79">
        <v>228</v>
      </c>
      <c r="D6" s="106">
        <v>21.1</v>
      </c>
      <c r="E6" s="106">
        <f t="shared" si="2"/>
        <v>206.9</v>
      </c>
      <c r="F6" s="72">
        <v>68.9</v>
      </c>
      <c r="G6" s="65">
        <v>213.4</v>
      </c>
      <c r="H6" s="80">
        <v>452.2</v>
      </c>
      <c r="I6" s="78">
        <v>40.7</v>
      </c>
      <c r="J6" s="78">
        <v>49.1</v>
      </c>
      <c r="K6" s="78">
        <v>694.6</v>
      </c>
      <c r="L6" s="78">
        <v>0</v>
      </c>
      <c r="M6" s="65">
        <f t="shared" si="0"/>
        <v>14.099999999999682</v>
      </c>
      <c r="N6" s="65">
        <v>5869.4</v>
      </c>
      <c r="O6" s="65">
        <v>4100</v>
      </c>
      <c r="P6" s="3">
        <f t="shared" si="1"/>
        <v>1.431560975609756</v>
      </c>
      <c r="Q6" s="2">
        <v>8053.8</v>
      </c>
      <c r="R6" s="71">
        <v>0</v>
      </c>
      <c r="S6" s="72">
        <v>0</v>
      </c>
      <c r="T6" s="73">
        <v>0</v>
      </c>
      <c r="U6" s="132">
        <v>0</v>
      </c>
      <c r="V6" s="133"/>
      <c r="W6" s="68">
        <f t="shared" si="3"/>
        <v>0</v>
      </c>
    </row>
    <row r="7" spans="1:23" ht="12.75">
      <c r="A7" s="10">
        <v>43622</v>
      </c>
      <c r="B7" s="77">
        <v>7719.2</v>
      </c>
      <c r="C7" s="79">
        <v>102.4</v>
      </c>
      <c r="D7" s="106">
        <v>13.2</v>
      </c>
      <c r="E7" s="106">
        <f t="shared" si="2"/>
        <v>89.2</v>
      </c>
      <c r="F7" s="65">
        <v>23.5</v>
      </c>
      <c r="G7" s="65">
        <v>198.7</v>
      </c>
      <c r="H7" s="79">
        <v>434.8</v>
      </c>
      <c r="I7" s="78">
        <v>28.1</v>
      </c>
      <c r="J7" s="78">
        <v>32.8</v>
      </c>
      <c r="K7" s="78">
        <v>0</v>
      </c>
      <c r="L7" s="78">
        <v>0</v>
      </c>
      <c r="M7" s="65">
        <f t="shared" si="0"/>
        <v>24.430000000000554</v>
      </c>
      <c r="N7" s="65">
        <v>8563.93</v>
      </c>
      <c r="O7" s="65">
        <v>6500</v>
      </c>
      <c r="P7" s="3">
        <f t="shared" si="1"/>
        <v>1.3175276923076924</v>
      </c>
      <c r="Q7" s="2">
        <v>8053.8</v>
      </c>
      <c r="R7" s="71">
        <v>0</v>
      </c>
      <c r="S7" s="72">
        <v>0</v>
      </c>
      <c r="T7" s="73">
        <v>401.7</v>
      </c>
      <c r="U7" s="132">
        <v>0</v>
      </c>
      <c r="V7" s="133"/>
      <c r="W7" s="68">
        <f t="shared" si="3"/>
        <v>401.7</v>
      </c>
    </row>
    <row r="8" spans="1:23" ht="12.75">
      <c r="A8" s="108">
        <v>43623</v>
      </c>
      <c r="B8" s="65">
        <v>16757.3</v>
      </c>
      <c r="C8" s="70">
        <v>171.4</v>
      </c>
      <c r="D8" s="106">
        <v>55.6</v>
      </c>
      <c r="E8" s="106">
        <f t="shared" si="2"/>
        <v>115.80000000000001</v>
      </c>
      <c r="F8" s="78">
        <v>24.1</v>
      </c>
      <c r="G8" s="78">
        <v>120.7</v>
      </c>
      <c r="H8" s="65">
        <v>320.9</v>
      </c>
      <c r="I8" s="78">
        <v>111.2</v>
      </c>
      <c r="J8" s="78">
        <v>214.4</v>
      </c>
      <c r="K8" s="78">
        <v>0</v>
      </c>
      <c r="L8" s="78">
        <v>0</v>
      </c>
      <c r="M8" s="65">
        <f t="shared" si="0"/>
        <v>57.099999999999255</v>
      </c>
      <c r="N8" s="65">
        <v>17777.1</v>
      </c>
      <c r="O8" s="65">
        <v>16800</v>
      </c>
      <c r="P8" s="3">
        <f t="shared" si="1"/>
        <v>1.0581607142857141</v>
      </c>
      <c r="Q8" s="2">
        <v>8053.8</v>
      </c>
      <c r="R8" s="71">
        <v>0</v>
      </c>
      <c r="S8" s="72">
        <v>0</v>
      </c>
      <c r="T8" s="70">
        <v>0</v>
      </c>
      <c r="U8" s="111">
        <v>0</v>
      </c>
      <c r="V8" s="112"/>
      <c r="W8" s="68">
        <f t="shared" si="3"/>
        <v>0</v>
      </c>
    </row>
    <row r="9" spans="1:23" ht="12.75">
      <c r="A9" s="10">
        <v>43626</v>
      </c>
      <c r="B9" s="65">
        <v>1034.3</v>
      </c>
      <c r="C9" s="70">
        <v>352.9</v>
      </c>
      <c r="D9" s="106">
        <v>36.5</v>
      </c>
      <c r="E9" s="106">
        <f t="shared" si="2"/>
        <v>316.4</v>
      </c>
      <c r="F9" s="78">
        <v>87.5</v>
      </c>
      <c r="G9" s="82">
        <v>241.95</v>
      </c>
      <c r="H9" s="65">
        <v>603.2</v>
      </c>
      <c r="I9" s="78">
        <v>40.3</v>
      </c>
      <c r="J9" s="78">
        <v>47.2</v>
      </c>
      <c r="K9" s="78">
        <v>0</v>
      </c>
      <c r="L9" s="78">
        <v>0</v>
      </c>
      <c r="M9" s="65">
        <f t="shared" si="0"/>
        <v>28.65000000000009</v>
      </c>
      <c r="N9" s="65">
        <v>2436</v>
      </c>
      <c r="O9" s="65">
        <v>6500</v>
      </c>
      <c r="P9" s="3">
        <f t="shared" si="1"/>
        <v>0.37476923076923074</v>
      </c>
      <c r="Q9" s="2">
        <v>8053.8</v>
      </c>
      <c r="R9" s="71">
        <v>0</v>
      </c>
      <c r="S9" s="72">
        <v>0</v>
      </c>
      <c r="T9" s="70">
        <v>0</v>
      </c>
      <c r="U9" s="111">
        <v>1</v>
      </c>
      <c r="V9" s="112"/>
      <c r="W9" s="68">
        <f t="shared" si="3"/>
        <v>1</v>
      </c>
    </row>
    <row r="10" spans="1:23" ht="12.75">
      <c r="A10" s="10">
        <v>43627</v>
      </c>
      <c r="B10" s="65">
        <v>688.5</v>
      </c>
      <c r="C10" s="70">
        <v>221.9</v>
      </c>
      <c r="D10" s="106">
        <v>23</v>
      </c>
      <c r="E10" s="106">
        <f t="shared" si="2"/>
        <v>198.9</v>
      </c>
      <c r="F10" s="78">
        <v>22.9</v>
      </c>
      <c r="G10" s="78">
        <v>379.2</v>
      </c>
      <c r="H10" s="65">
        <v>472.75</v>
      </c>
      <c r="I10" s="78">
        <v>125.3</v>
      </c>
      <c r="J10" s="78">
        <v>23.8</v>
      </c>
      <c r="K10" s="78">
        <v>0</v>
      </c>
      <c r="L10" s="78">
        <v>0</v>
      </c>
      <c r="M10" s="65">
        <f t="shared" si="0"/>
        <v>39.24999999999969</v>
      </c>
      <c r="N10" s="65">
        <v>1973.6</v>
      </c>
      <c r="O10" s="72">
        <v>5500</v>
      </c>
      <c r="P10" s="3">
        <f t="shared" si="1"/>
        <v>0.3588363636363636</v>
      </c>
      <c r="Q10" s="2">
        <v>8053.8</v>
      </c>
      <c r="R10" s="71">
        <v>0</v>
      </c>
      <c r="S10" s="72">
        <v>0</v>
      </c>
      <c r="T10" s="70">
        <v>0.1</v>
      </c>
      <c r="U10" s="111">
        <v>0</v>
      </c>
      <c r="V10" s="112"/>
      <c r="W10" s="68">
        <f>R10+S10+U10+T10+V10</f>
        <v>0.1</v>
      </c>
    </row>
    <row r="11" spans="1:23" ht="12.75">
      <c r="A11" s="10">
        <v>43628</v>
      </c>
      <c r="B11" s="65">
        <v>1663.9</v>
      </c>
      <c r="C11" s="70">
        <v>254.6</v>
      </c>
      <c r="D11" s="106">
        <v>40.5</v>
      </c>
      <c r="E11" s="106">
        <f t="shared" si="2"/>
        <v>214.1</v>
      </c>
      <c r="F11" s="78">
        <v>64.6</v>
      </c>
      <c r="G11" s="78">
        <v>172.4</v>
      </c>
      <c r="H11" s="65">
        <v>441.2</v>
      </c>
      <c r="I11" s="78">
        <v>129.1</v>
      </c>
      <c r="J11" s="78">
        <v>52.3</v>
      </c>
      <c r="K11" s="78">
        <v>0</v>
      </c>
      <c r="L11" s="78">
        <v>0</v>
      </c>
      <c r="M11" s="65">
        <f t="shared" si="0"/>
        <v>107.8999999999999</v>
      </c>
      <c r="N11" s="65">
        <v>2886</v>
      </c>
      <c r="O11" s="65">
        <v>4900</v>
      </c>
      <c r="P11" s="3">
        <f t="shared" si="1"/>
        <v>0.5889795918367347</v>
      </c>
      <c r="Q11" s="2">
        <v>8053.8</v>
      </c>
      <c r="R11" s="69">
        <v>0</v>
      </c>
      <c r="S11" s="65">
        <v>0</v>
      </c>
      <c r="T11" s="70">
        <v>0</v>
      </c>
      <c r="U11" s="111">
        <v>0</v>
      </c>
      <c r="V11" s="112"/>
      <c r="W11" s="68">
        <f t="shared" si="3"/>
        <v>0</v>
      </c>
    </row>
    <row r="12" spans="1:23" ht="12.75">
      <c r="A12" s="10">
        <v>43629</v>
      </c>
      <c r="B12" s="77">
        <v>6984.6</v>
      </c>
      <c r="C12" s="70">
        <v>458.3</v>
      </c>
      <c r="D12" s="106">
        <v>103.7</v>
      </c>
      <c r="E12" s="106">
        <f t="shared" si="2"/>
        <v>354.6</v>
      </c>
      <c r="F12" s="78">
        <v>67.7</v>
      </c>
      <c r="G12" s="78">
        <v>309.8</v>
      </c>
      <c r="H12" s="65">
        <v>456.3</v>
      </c>
      <c r="I12" s="78">
        <v>80.6</v>
      </c>
      <c r="J12" s="78">
        <v>1.7</v>
      </c>
      <c r="K12" s="78">
        <v>0</v>
      </c>
      <c r="L12" s="78">
        <v>0</v>
      </c>
      <c r="M12" s="65">
        <f t="shared" si="0"/>
        <v>26.10000000000004</v>
      </c>
      <c r="N12" s="65">
        <v>8385.1</v>
      </c>
      <c r="O12" s="65">
        <v>6900</v>
      </c>
      <c r="P12" s="3">
        <f t="shared" si="1"/>
        <v>1.215231884057971</v>
      </c>
      <c r="Q12" s="2">
        <v>8053.8</v>
      </c>
      <c r="R12" s="69">
        <v>0</v>
      </c>
      <c r="S12" s="65">
        <v>0</v>
      </c>
      <c r="T12" s="70">
        <v>0</v>
      </c>
      <c r="U12" s="111">
        <v>0</v>
      </c>
      <c r="V12" s="112"/>
      <c r="W12" s="68">
        <f t="shared" si="3"/>
        <v>0</v>
      </c>
    </row>
    <row r="13" spans="1:23" ht="12.75">
      <c r="A13" s="10">
        <v>43630</v>
      </c>
      <c r="B13" s="65">
        <v>10541.7</v>
      </c>
      <c r="C13" s="70">
        <v>307.8</v>
      </c>
      <c r="D13" s="106">
        <v>36.7</v>
      </c>
      <c r="E13" s="106">
        <f t="shared" si="2"/>
        <v>271.1</v>
      </c>
      <c r="F13" s="78">
        <v>52.4</v>
      </c>
      <c r="G13" s="78">
        <v>396.6</v>
      </c>
      <c r="H13" s="65">
        <v>882.8</v>
      </c>
      <c r="I13" s="78">
        <v>114.1</v>
      </c>
      <c r="J13" s="78">
        <v>2.1</v>
      </c>
      <c r="K13" s="78">
        <v>0</v>
      </c>
      <c r="L13" s="78">
        <v>0</v>
      </c>
      <c r="M13" s="65">
        <f t="shared" si="0"/>
        <v>34.29999999999841</v>
      </c>
      <c r="N13" s="65">
        <v>12331.8</v>
      </c>
      <c r="O13" s="65">
        <v>16500</v>
      </c>
      <c r="P13" s="3">
        <f t="shared" si="1"/>
        <v>0.7473818181818181</v>
      </c>
      <c r="Q13" s="2">
        <v>8053.8</v>
      </c>
      <c r="R13" s="69">
        <v>0</v>
      </c>
      <c r="S13" s="65">
        <v>0</v>
      </c>
      <c r="T13" s="70">
        <v>0</v>
      </c>
      <c r="U13" s="111">
        <v>0</v>
      </c>
      <c r="V13" s="112"/>
      <c r="W13" s="68">
        <f t="shared" si="3"/>
        <v>0</v>
      </c>
    </row>
    <row r="14" spans="1:23" ht="12.75">
      <c r="A14" s="10">
        <v>43634</v>
      </c>
      <c r="B14" s="65">
        <v>2411.9</v>
      </c>
      <c r="C14" s="70">
        <v>587.7</v>
      </c>
      <c r="D14" s="106">
        <v>81.9</v>
      </c>
      <c r="E14" s="106">
        <f t="shared" si="2"/>
        <v>505.80000000000007</v>
      </c>
      <c r="F14" s="78">
        <v>53</v>
      </c>
      <c r="G14" s="78">
        <v>726.2</v>
      </c>
      <c r="H14" s="65">
        <v>1440.1</v>
      </c>
      <c r="I14" s="78">
        <v>5.6</v>
      </c>
      <c r="J14" s="78">
        <v>17.955</v>
      </c>
      <c r="K14" s="78">
        <v>0</v>
      </c>
      <c r="L14" s="78">
        <v>0</v>
      </c>
      <c r="M14" s="65">
        <f t="shared" si="0"/>
        <v>20.844999999999864</v>
      </c>
      <c r="N14" s="65">
        <v>5263.3</v>
      </c>
      <c r="O14" s="65">
        <v>6500</v>
      </c>
      <c r="P14" s="3">
        <f t="shared" si="1"/>
        <v>0.8097384615384615</v>
      </c>
      <c r="Q14" s="2">
        <v>8053.8</v>
      </c>
      <c r="R14" s="69">
        <v>0</v>
      </c>
      <c r="S14" s="65">
        <v>0</v>
      </c>
      <c r="T14" s="74">
        <v>0</v>
      </c>
      <c r="U14" s="111">
        <v>0</v>
      </c>
      <c r="V14" s="112"/>
      <c r="W14" s="68">
        <f t="shared" si="3"/>
        <v>0</v>
      </c>
    </row>
    <row r="15" spans="1:23" ht="12.75">
      <c r="A15" s="10">
        <v>43635</v>
      </c>
      <c r="B15" s="65">
        <v>2920.1</v>
      </c>
      <c r="C15" s="66">
        <v>231.4</v>
      </c>
      <c r="D15" s="106">
        <v>72.5</v>
      </c>
      <c r="E15" s="106">
        <f t="shared" si="2"/>
        <v>158.9</v>
      </c>
      <c r="F15" s="81">
        <v>94.9</v>
      </c>
      <c r="G15" s="81">
        <v>694.8</v>
      </c>
      <c r="H15" s="82">
        <v>1033.6</v>
      </c>
      <c r="I15" s="81">
        <v>133.6</v>
      </c>
      <c r="J15" s="81">
        <v>8.5</v>
      </c>
      <c r="K15" s="81">
        <v>0</v>
      </c>
      <c r="L15" s="81">
        <v>0</v>
      </c>
      <c r="M15" s="65">
        <f t="shared" si="0"/>
        <v>73.40000000000023</v>
      </c>
      <c r="N15" s="65">
        <v>5190.3</v>
      </c>
      <c r="O15" s="72">
        <v>7800</v>
      </c>
      <c r="P15" s="3">
        <f>N15/O15</f>
        <v>0.6654230769230769</v>
      </c>
      <c r="Q15" s="2">
        <v>8053.8</v>
      </c>
      <c r="R15" s="69">
        <v>0</v>
      </c>
      <c r="S15" s="65">
        <v>0</v>
      </c>
      <c r="T15" s="74">
        <v>72.65</v>
      </c>
      <c r="U15" s="111">
        <v>0</v>
      </c>
      <c r="V15" s="112"/>
      <c r="W15" s="68">
        <f t="shared" si="3"/>
        <v>72.65</v>
      </c>
    </row>
    <row r="16" spans="1:23" ht="12.75">
      <c r="A16" s="10">
        <v>43636</v>
      </c>
      <c r="B16" s="65">
        <v>5195.2</v>
      </c>
      <c r="C16" s="70">
        <v>220.5</v>
      </c>
      <c r="D16" s="106">
        <v>16.3</v>
      </c>
      <c r="E16" s="106">
        <f t="shared" si="2"/>
        <v>204.2</v>
      </c>
      <c r="F16" s="78">
        <v>160.5</v>
      </c>
      <c r="G16" s="78">
        <v>494.7</v>
      </c>
      <c r="H16" s="65">
        <v>1334.3</v>
      </c>
      <c r="I16" s="78">
        <v>89.6</v>
      </c>
      <c r="J16" s="78">
        <v>3.6</v>
      </c>
      <c r="K16" s="78">
        <v>0</v>
      </c>
      <c r="L16" s="78">
        <v>0</v>
      </c>
      <c r="M16" s="65">
        <f t="shared" si="0"/>
        <v>74.70000000000056</v>
      </c>
      <c r="N16" s="65">
        <v>7573.1</v>
      </c>
      <c r="O16" s="72">
        <v>12000</v>
      </c>
      <c r="P16" s="3">
        <f t="shared" si="1"/>
        <v>0.6310916666666667</v>
      </c>
      <c r="Q16" s="2">
        <v>8053.8</v>
      </c>
      <c r="R16" s="69">
        <v>0</v>
      </c>
      <c r="S16" s="65">
        <v>0</v>
      </c>
      <c r="T16" s="74">
        <v>0</v>
      </c>
      <c r="U16" s="111">
        <v>0</v>
      </c>
      <c r="V16" s="112"/>
      <c r="W16" s="68">
        <f t="shared" si="3"/>
        <v>0</v>
      </c>
    </row>
    <row r="17" spans="1:23" ht="12.75">
      <c r="A17" s="10">
        <v>43637</v>
      </c>
      <c r="B17" s="65">
        <v>9447.3</v>
      </c>
      <c r="C17" s="70">
        <v>281.1</v>
      </c>
      <c r="D17" s="106">
        <v>55.5</v>
      </c>
      <c r="E17" s="106">
        <f t="shared" si="2"/>
        <v>225.60000000000002</v>
      </c>
      <c r="F17" s="78">
        <v>48.2</v>
      </c>
      <c r="G17" s="78">
        <v>795.6</v>
      </c>
      <c r="H17" s="65">
        <v>314.5</v>
      </c>
      <c r="I17" s="78">
        <v>27.1</v>
      </c>
      <c r="J17" s="78">
        <v>9.2</v>
      </c>
      <c r="K17" s="78">
        <v>0</v>
      </c>
      <c r="L17" s="78">
        <v>0</v>
      </c>
      <c r="M17" s="65">
        <f t="shared" si="0"/>
        <v>49.740000000000535</v>
      </c>
      <c r="N17" s="65">
        <v>10972.74</v>
      </c>
      <c r="O17" s="65">
        <v>5900</v>
      </c>
      <c r="P17" s="3">
        <f t="shared" si="1"/>
        <v>1.859786440677966</v>
      </c>
      <c r="Q17" s="2">
        <v>8053.8</v>
      </c>
      <c r="R17" s="69">
        <v>0</v>
      </c>
      <c r="S17" s="65">
        <v>0</v>
      </c>
      <c r="T17" s="74">
        <v>0</v>
      </c>
      <c r="U17" s="111">
        <v>0</v>
      </c>
      <c r="V17" s="112"/>
      <c r="W17" s="68">
        <f t="shared" si="3"/>
        <v>0</v>
      </c>
    </row>
    <row r="18" spans="1:23" ht="12.75">
      <c r="A18" s="10">
        <v>43640</v>
      </c>
      <c r="B18" s="65">
        <v>1160.9</v>
      </c>
      <c r="C18" s="70">
        <v>1197.4</v>
      </c>
      <c r="D18" s="106">
        <v>698.2</v>
      </c>
      <c r="E18" s="106">
        <f t="shared" si="2"/>
        <v>499.20000000000005</v>
      </c>
      <c r="F18" s="78">
        <v>116.9</v>
      </c>
      <c r="G18" s="78">
        <v>810.4</v>
      </c>
      <c r="H18" s="65">
        <v>343.7</v>
      </c>
      <c r="I18" s="78">
        <v>106.2</v>
      </c>
      <c r="J18" s="78">
        <v>3</v>
      </c>
      <c r="K18" s="78">
        <v>0</v>
      </c>
      <c r="L18" s="78">
        <v>0</v>
      </c>
      <c r="M18" s="65">
        <f>N18-B18-C18-F18-G18-H18-I18-J18-K18-L18</f>
        <v>10.499999999999758</v>
      </c>
      <c r="N18" s="65">
        <v>3749</v>
      </c>
      <c r="O18" s="65">
        <v>5500</v>
      </c>
      <c r="P18" s="3">
        <f>N18/O18</f>
        <v>0.6816363636363636</v>
      </c>
      <c r="Q18" s="2">
        <v>8053.8</v>
      </c>
      <c r="R18" s="69">
        <v>0</v>
      </c>
      <c r="S18" s="65">
        <v>0</v>
      </c>
      <c r="T18" s="70">
        <v>0</v>
      </c>
      <c r="U18" s="111">
        <v>0</v>
      </c>
      <c r="V18" s="112"/>
      <c r="W18" s="68">
        <f t="shared" si="3"/>
        <v>0</v>
      </c>
    </row>
    <row r="19" spans="1:23" ht="12.75">
      <c r="A19" s="10">
        <v>43641</v>
      </c>
      <c r="B19" s="65">
        <v>4425.7</v>
      </c>
      <c r="C19" s="70">
        <v>2430.3</v>
      </c>
      <c r="D19" s="106">
        <v>1978.8</v>
      </c>
      <c r="E19" s="106">
        <f t="shared" si="2"/>
        <v>451.5000000000002</v>
      </c>
      <c r="F19" s="78">
        <v>83.5</v>
      </c>
      <c r="G19" s="78">
        <v>1984.9</v>
      </c>
      <c r="H19" s="65">
        <v>499.7</v>
      </c>
      <c r="I19" s="78">
        <v>163.1</v>
      </c>
      <c r="J19" s="78">
        <v>10.5</v>
      </c>
      <c r="K19" s="78">
        <v>0</v>
      </c>
      <c r="L19" s="78">
        <v>0</v>
      </c>
      <c r="M19" s="65">
        <f>N19-B19-C19-F19-G19-H19-I19-J19-K19-L19</f>
        <v>53.500000000000654</v>
      </c>
      <c r="N19" s="65">
        <v>9651.2</v>
      </c>
      <c r="O19" s="65">
        <v>5600</v>
      </c>
      <c r="P19" s="3">
        <f t="shared" si="1"/>
        <v>1.7234285714285715</v>
      </c>
      <c r="Q19" s="2">
        <v>8053.8</v>
      </c>
      <c r="R19" s="69">
        <v>0</v>
      </c>
      <c r="S19" s="65">
        <v>0</v>
      </c>
      <c r="T19" s="70">
        <v>0</v>
      </c>
      <c r="U19" s="111">
        <v>0</v>
      </c>
      <c r="V19" s="112"/>
      <c r="W19" s="68">
        <f t="shared" si="3"/>
        <v>0</v>
      </c>
    </row>
    <row r="20" spans="1:23" ht="12.75">
      <c r="A20" s="10">
        <v>43642</v>
      </c>
      <c r="B20" s="65">
        <v>14450.4</v>
      </c>
      <c r="C20" s="70">
        <v>1513.9</v>
      </c>
      <c r="D20" s="106">
        <v>1170.2</v>
      </c>
      <c r="E20" s="106">
        <f t="shared" si="2"/>
        <v>343.70000000000005</v>
      </c>
      <c r="F20" s="78">
        <v>92</v>
      </c>
      <c r="G20" s="65">
        <v>3146.2</v>
      </c>
      <c r="H20" s="65">
        <v>279.8</v>
      </c>
      <c r="I20" s="78">
        <v>39.8</v>
      </c>
      <c r="J20" s="78">
        <v>32.5</v>
      </c>
      <c r="K20" s="78">
        <v>0</v>
      </c>
      <c r="L20" s="78">
        <v>0</v>
      </c>
      <c r="M20" s="65">
        <f t="shared" si="0"/>
        <v>41.900000000000446</v>
      </c>
      <c r="N20" s="65">
        <v>19596.5</v>
      </c>
      <c r="O20" s="65">
        <v>8600</v>
      </c>
      <c r="P20" s="3">
        <f t="shared" si="1"/>
        <v>2.2786627906976746</v>
      </c>
      <c r="Q20" s="2">
        <v>8053.8</v>
      </c>
      <c r="R20" s="102">
        <v>11.85</v>
      </c>
      <c r="S20" s="103">
        <v>13.1</v>
      </c>
      <c r="T20" s="104">
        <v>0</v>
      </c>
      <c r="U20" s="111">
        <v>0</v>
      </c>
      <c r="V20" s="112"/>
      <c r="W20" s="68">
        <f t="shared" si="3"/>
        <v>24.95</v>
      </c>
    </row>
    <row r="21" spans="1:23" ht="13.5" thickBot="1">
      <c r="A21" s="10">
        <v>43643</v>
      </c>
      <c r="B21" s="65">
        <v>9695.6</v>
      </c>
      <c r="C21" s="74">
        <v>1063</v>
      </c>
      <c r="D21" s="106">
        <v>490.8</v>
      </c>
      <c r="E21" s="106">
        <f t="shared" si="2"/>
        <v>572.2</v>
      </c>
      <c r="F21" s="78">
        <v>143.5</v>
      </c>
      <c r="G21" s="65">
        <v>3664.2</v>
      </c>
      <c r="H21" s="65">
        <v>516.8</v>
      </c>
      <c r="I21" s="78">
        <v>126.7</v>
      </c>
      <c r="J21" s="78">
        <v>63.8</v>
      </c>
      <c r="K21" s="78">
        <v>0</v>
      </c>
      <c r="L21" s="78">
        <v>0</v>
      </c>
      <c r="M21" s="65">
        <f t="shared" si="0"/>
        <v>160.19999999999914</v>
      </c>
      <c r="N21" s="65">
        <v>15433.8</v>
      </c>
      <c r="O21" s="65">
        <v>25000</v>
      </c>
      <c r="P21" s="3">
        <f t="shared" si="1"/>
        <v>0.617352</v>
      </c>
      <c r="Q21" s="2">
        <v>8053.8</v>
      </c>
      <c r="R21" s="98">
        <v>335.83</v>
      </c>
      <c r="S21" s="99">
        <v>0</v>
      </c>
      <c r="T21" s="100">
        <v>35.74</v>
      </c>
      <c r="U21" s="126">
        <v>6</v>
      </c>
      <c r="V21" s="127"/>
      <c r="W21" s="68">
        <f t="shared" si="3"/>
        <v>377.57</v>
      </c>
    </row>
    <row r="22" spans="1:23" ht="13.5" thickBot="1">
      <c r="A22" s="83" t="s">
        <v>28</v>
      </c>
      <c r="B22" s="85">
        <f aca="true" t="shared" si="4" ref="B22:O22">SUM(B4:B21)</f>
        <v>103015.79999999999</v>
      </c>
      <c r="C22" s="85">
        <f t="shared" si="4"/>
        <v>10186.500000000002</v>
      </c>
      <c r="D22" s="107">
        <f t="shared" si="4"/>
        <v>4920.3</v>
      </c>
      <c r="E22" s="107">
        <f t="shared" si="4"/>
        <v>5266.2</v>
      </c>
      <c r="F22" s="85">
        <f t="shared" si="4"/>
        <v>1282.55</v>
      </c>
      <c r="G22" s="85">
        <f t="shared" si="4"/>
        <v>14568.350000000002</v>
      </c>
      <c r="H22" s="85">
        <f t="shared" si="4"/>
        <v>11201.25</v>
      </c>
      <c r="I22" s="85">
        <f t="shared" si="4"/>
        <v>1526.3</v>
      </c>
      <c r="J22" s="85">
        <f t="shared" si="4"/>
        <v>607.605</v>
      </c>
      <c r="K22" s="85">
        <f t="shared" si="4"/>
        <v>694.6</v>
      </c>
      <c r="L22" s="85">
        <f t="shared" si="4"/>
        <v>1046.2</v>
      </c>
      <c r="M22" s="84">
        <f t="shared" si="4"/>
        <v>839.5149999999985</v>
      </c>
      <c r="N22" s="84">
        <f t="shared" si="4"/>
        <v>144968.67</v>
      </c>
      <c r="O22" s="84">
        <f t="shared" si="4"/>
        <v>152910</v>
      </c>
      <c r="P22" s="86">
        <f>N22/O22</f>
        <v>0.9480653325485581</v>
      </c>
      <c r="Q22" s="2"/>
      <c r="R22" s="75">
        <f>SUM(R4:R21)</f>
        <v>347.68</v>
      </c>
      <c r="S22" s="75">
        <f>SUM(S4:S21)</f>
        <v>13.1</v>
      </c>
      <c r="T22" s="75">
        <f>SUM(T4:T21)</f>
        <v>548.49</v>
      </c>
      <c r="U22" s="128">
        <f>SUM(U4:U21)</f>
        <v>7</v>
      </c>
      <c r="V22" s="129"/>
      <c r="W22" s="75">
        <f>R22+S22+U22+T22+V22</f>
        <v>916.27</v>
      </c>
    </row>
    <row r="23" spans="1:17" ht="12.75">
      <c r="A23" s="1"/>
      <c r="B23" s="9"/>
      <c r="C23" s="9"/>
      <c r="D23" s="9"/>
      <c r="E23" s="9"/>
      <c r="F23" s="1"/>
      <c r="G23" s="1"/>
      <c r="H23" s="1"/>
      <c r="I23" s="1"/>
      <c r="J23" s="1"/>
      <c r="K23" s="1"/>
      <c r="L23" s="1"/>
      <c r="M23" s="9"/>
      <c r="N23" s="9"/>
      <c r="O23" s="9"/>
      <c r="P23" s="1"/>
      <c r="Q23" s="1"/>
    </row>
    <row r="24" spans="1:17" ht="17.25" customHeight="1">
      <c r="A24" s="1"/>
      <c r="B24" s="9"/>
      <c r="C24" s="9"/>
      <c r="D24" s="9"/>
      <c r="E24" s="9"/>
      <c r="F24" s="1"/>
      <c r="G24" s="1"/>
      <c r="H24" s="1"/>
      <c r="I24" s="1"/>
      <c r="J24" s="1"/>
      <c r="K24" s="1"/>
      <c r="L24" s="1"/>
      <c r="M24" s="9"/>
      <c r="N24" s="9"/>
      <c r="O24" s="9"/>
      <c r="P24" s="1"/>
      <c r="Q24" s="1"/>
    </row>
    <row r="25" spans="1:23" ht="1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  <c r="R25" s="116" t="s">
        <v>33</v>
      </c>
      <c r="S25" s="116"/>
      <c r="T25" s="116"/>
      <c r="U25" s="116"/>
      <c r="V25" s="50"/>
      <c r="W25" s="50"/>
    </row>
    <row r="26" spans="1:23" ht="1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  <c r="R26" s="130" t="s">
        <v>29</v>
      </c>
      <c r="S26" s="130"/>
      <c r="T26" s="130"/>
      <c r="U26" s="130"/>
      <c r="V26" s="50"/>
      <c r="W26" s="50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18">
        <v>43647</v>
      </c>
      <c r="S27" s="131">
        <v>15023.03664</v>
      </c>
      <c r="T27" s="131"/>
      <c r="U27" s="131"/>
      <c r="V27" s="57"/>
      <c r="W27" s="57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19"/>
      <c r="S28" s="131"/>
      <c r="T28" s="131"/>
      <c r="U28" s="131"/>
      <c r="V28" s="57"/>
      <c r="W28" s="57"/>
    </row>
    <row r="29" spans="1:23" ht="12.75" hidden="1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S29" s="33" t="s">
        <v>34</v>
      </c>
      <c r="T29" s="34" t="s">
        <v>39</v>
      </c>
      <c r="U29" s="48">
        <f>'[1]серпень'!$I$83</f>
        <v>0</v>
      </c>
      <c r="V29" s="54"/>
      <c r="W29" s="55"/>
    </row>
    <row r="30" spans="1:23" ht="12.75" hidden="1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S30" s="113" t="s">
        <v>45</v>
      </c>
      <c r="T30" s="114"/>
      <c r="U30" s="35">
        <f>'[1]серпень'!$I$82</f>
        <v>0</v>
      </c>
      <c r="V30" s="56"/>
      <c r="W30" s="55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115" t="s">
        <v>40</v>
      </c>
      <c r="T31" s="115"/>
      <c r="U31" s="48">
        <f>'[1]серпень'!$I$81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U32" s="56"/>
      <c r="V32" s="56"/>
      <c r="W32" s="55"/>
    </row>
    <row r="33" spans="1:17" ht="12.75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</row>
    <row r="34" spans="1:17" ht="12.75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</row>
    <row r="35" spans="1:23" ht="1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R35" s="116" t="s">
        <v>30</v>
      </c>
      <c r="S35" s="116"/>
      <c r="T35" s="116"/>
      <c r="U35" s="116"/>
      <c r="V35" s="52"/>
      <c r="W35" s="52"/>
    </row>
    <row r="36" spans="1:23" ht="1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R36" s="117" t="s">
        <v>31</v>
      </c>
      <c r="S36" s="117"/>
      <c r="T36" s="117"/>
      <c r="U36" s="117"/>
      <c r="V36" s="53"/>
      <c r="W36" s="53"/>
    </row>
    <row r="37" spans="1:23" ht="12.75" customHeight="1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18">
        <v>43647</v>
      </c>
      <c r="S37" s="120">
        <v>0</v>
      </c>
      <c r="T37" s="121"/>
      <c r="U37" s="122"/>
      <c r="V37" s="51"/>
      <c r="W37" s="51"/>
    </row>
    <row r="38" spans="1:23" ht="12.75" customHeight="1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19"/>
      <c r="S38" s="123"/>
      <c r="T38" s="124"/>
      <c r="U38" s="125"/>
      <c r="V38" s="51"/>
      <c r="W38" s="51"/>
    </row>
    <row r="39" spans="1:17" ht="12.7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</row>
    <row r="40" spans="1:17" ht="12.7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Q44" s="1"/>
    </row>
  </sheetData>
  <sheetProtection/>
  <mergeCells count="34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20:V20"/>
    <mergeCell ref="U21:V21"/>
    <mergeCell ref="U22:V22"/>
    <mergeCell ref="R25:U25"/>
    <mergeCell ref="R26:U26"/>
    <mergeCell ref="U17:V17"/>
    <mergeCell ref="U18:V18"/>
    <mergeCell ref="U19:V19"/>
    <mergeCell ref="R37:R38"/>
    <mergeCell ref="S37:U38"/>
    <mergeCell ref="R27:R28"/>
    <mergeCell ref="S27:U28"/>
    <mergeCell ref="S30:T30"/>
    <mergeCell ref="S31:T31"/>
    <mergeCell ref="R35:U35"/>
    <mergeCell ref="R36:U36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49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17" sqref="J17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30" customHeight="1">
      <c r="A1" s="134" t="s">
        <v>100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6"/>
      <c r="Q1" s="1"/>
      <c r="R1" s="137" t="s">
        <v>101</v>
      </c>
      <c r="S1" s="138"/>
      <c r="T1" s="138"/>
      <c r="U1" s="138"/>
      <c r="V1" s="138"/>
      <c r="W1" s="139"/>
    </row>
    <row r="2" spans="1:23" ht="15" thickBot="1">
      <c r="A2" s="140" t="s">
        <v>103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2"/>
      <c r="Q2" s="1"/>
      <c r="R2" s="143" t="s">
        <v>104</v>
      </c>
      <c r="S2" s="144"/>
      <c r="T2" s="144"/>
      <c r="U2" s="144"/>
      <c r="V2" s="144"/>
      <c r="W2" s="145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82</v>
      </c>
      <c r="K3" s="22" t="s">
        <v>4</v>
      </c>
      <c r="L3" s="22" t="s">
        <v>57</v>
      </c>
      <c r="M3" s="29" t="s">
        <v>5</v>
      </c>
      <c r="N3" s="29" t="s">
        <v>102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46" t="s">
        <v>47</v>
      </c>
      <c r="V3" s="147"/>
      <c r="W3" s="93" t="s">
        <v>27</v>
      </c>
    </row>
    <row r="4" spans="1:23" ht="12.75">
      <c r="A4" s="108">
        <v>43647</v>
      </c>
      <c r="B4" s="65">
        <v>1051.4</v>
      </c>
      <c r="C4" s="79">
        <v>7.9</v>
      </c>
      <c r="D4" s="106">
        <v>7.9</v>
      </c>
      <c r="E4" s="106">
        <f>C4-D4</f>
        <v>0</v>
      </c>
      <c r="F4" s="65">
        <v>80.6</v>
      </c>
      <c r="G4" s="65">
        <v>344.2</v>
      </c>
      <c r="H4" s="67">
        <v>1023.5</v>
      </c>
      <c r="I4" s="78">
        <v>41.5</v>
      </c>
      <c r="J4" s="78">
        <v>17.8</v>
      </c>
      <c r="K4" s="78">
        <v>0</v>
      </c>
      <c r="L4" s="65">
        <v>655</v>
      </c>
      <c r="M4" s="65">
        <f aca="true" t="shared" si="0" ref="M4:M26">N4-B4-C4-F4-G4-H4-I4-J4-K4-L4</f>
        <v>34.19999999999982</v>
      </c>
      <c r="N4" s="65">
        <v>3256.1</v>
      </c>
      <c r="O4" s="65">
        <v>3200</v>
      </c>
      <c r="P4" s="3">
        <f aca="true" t="shared" si="1" ref="P4:P26">N4/O4</f>
        <v>1.01753125</v>
      </c>
      <c r="Q4" s="2">
        <f>AVERAGE(N4:N26)</f>
        <v>7643.365652173913</v>
      </c>
      <c r="R4" s="94">
        <v>0</v>
      </c>
      <c r="S4" s="95">
        <v>0</v>
      </c>
      <c r="T4" s="96">
        <v>20</v>
      </c>
      <c r="U4" s="148">
        <v>0</v>
      </c>
      <c r="V4" s="149"/>
      <c r="W4" s="97">
        <f>R4+S4+U4+T4+V4</f>
        <v>20</v>
      </c>
    </row>
    <row r="5" spans="1:23" ht="12.75">
      <c r="A5" s="10">
        <v>43648</v>
      </c>
      <c r="B5" s="65">
        <v>1304.9</v>
      </c>
      <c r="C5" s="79">
        <v>7.7</v>
      </c>
      <c r="D5" s="106">
        <v>7.7</v>
      </c>
      <c r="E5" s="106">
        <f aca="true" t="shared" si="2" ref="E5:E26">C5-D5</f>
        <v>0</v>
      </c>
      <c r="F5" s="65">
        <v>187.6</v>
      </c>
      <c r="G5" s="65">
        <v>172.8</v>
      </c>
      <c r="H5" s="79">
        <v>1170.5</v>
      </c>
      <c r="I5" s="78">
        <v>66.8</v>
      </c>
      <c r="J5" s="78">
        <v>12.2</v>
      </c>
      <c r="K5" s="78">
        <v>753.6</v>
      </c>
      <c r="L5" s="65">
        <v>0</v>
      </c>
      <c r="M5" s="65">
        <f t="shared" si="0"/>
        <v>27.700000000000387</v>
      </c>
      <c r="N5" s="65">
        <v>3703.8</v>
      </c>
      <c r="O5" s="65">
        <v>3000</v>
      </c>
      <c r="P5" s="3">
        <f t="shared" si="1"/>
        <v>1.2346000000000001</v>
      </c>
      <c r="Q5" s="2">
        <v>7643.4</v>
      </c>
      <c r="R5" s="69">
        <v>0</v>
      </c>
      <c r="S5" s="65">
        <v>0</v>
      </c>
      <c r="T5" s="70">
        <v>0</v>
      </c>
      <c r="U5" s="111">
        <v>0</v>
      </c>
      <c r="V5" s="112"/>
      <c r="W5" s="68">
        <f aca="true" t="shared" si="3" ref="W5:W26">R5+S5+U5+T5+V5</f>
        <v>0</v>
      </c>
    </row>
    <row r="6" spans="1:23" ht="12.75">
      <c r="A6" s="10">
        <v>43649</v>
      </c>
      <c r="B6" s="65">
        <v>1850.2</v>
      </c>
      <c r="C6" s="79">
        <v>16.1</v>
      </c>
      <c r="D6" s="106">
        <v>16.1</v>
      </c>
      <c r="E6" s="106">
        <f t="shared" si="2"/>
        <v>0</v>
      </c>
      <c r="F6" s="72">
        <v>101.8</v>
      </c>
      <c r="G6" s="65">
        <v>192</v>
      </c>
      <c r="H6" s="80">
        <v>1120.3</v>
      </c>
      <c r="I6" s="78">
        <v>11.4</v>
      </c>
      <c r="J6" s="78">
        <v>5.3</v>
      </c>
      <c r="K6" s="78">
        <v>0</v>
      </c>
      <c r="L6" s="78">
        <v>0</v>
      </c>
      <c r="M6" s="65">
        <f t="shared" si="0"/>
        <v>94.43000000000033</v>
      </c>
      <c r="N6" s="65">
        <v>3391.53</v>
      </c>
      <c r="O6" s="65">
        <v>3900</v>
      </c>
      <c r="P6" s="3">
        <f t="shared" si="1"/>
        <v>0.8696230769230769</v>
      </c>
      <c r="Q6" s="2">
        <v>7643.4</v>
      </c>
      <c r="R6" s="71">
        <v>0</v>
      </c>
      <c r="S6" s="72">
        <v>0</v>
      </c>
      <c r="T6" s="73">
        <v>0.3</v>
      </c>
      <c r="U6" s="132">
        <v>0</v>
      </c>
      <c r="V6" s="133"/>
      <c r="W6" s="68">
        <f t="shared" si="3"/>
        <v>0.3</v>
      </c>
    </row>
    <row r="7" spans="1:23" ht="12.75">
      <c r="A7" s="10">
        <v>43650</v>
      </c>
      <c r="B7" s="77">
        <v>5000.5</v>
      </c>
      <c r="C7" s="79">
        <v>49.7</v>
      </c>
      <c r="D7" s="106">
        <v>49.7</v>
      </c>
      <c r="E7" s="106">
        <f t="shared" si="2"/>
        <v>0</v>
      </c>
      <c r="F7" s="65">
        <v>105.4</v>
      </c>
      <c r="G7" s="65">
        <v>89.1</v>
      </c>
      <c r="H7" s="79">
        <v>1325.2</v>
      </c>
      <c r="I7" s="78">
        <v>122.1</v>
      </c>
      <c r="J7" s="78">
        <v>43.5</v>
      </c>
      <c r="K7" s="78">
        <v>0</v>
      </c>
      <c r="L7" s="78">
        <v>0</v>
      </c>
      <c r="M7" s="65">
        <f t="shared" si="0"/>
        <v>39.10000000000028</v>
      </c>
      <c r="N7" s="65">
        <v>6774.6</v>
      </c>
      <c r="O7" s="65">
        <v>4800</v>
      </c>
      <c r="P7" s="3">
        <f t="shared" si="1"/>
        <v>1.411375</v>
      </c>
      <c r="Q7" s="2">
        <v>7643.4</v>
      </c>
      <c r="R7" s="71">
        <v>0</v>
      </c>
      <c r="S7" s="72">
        <v>0</v>
      </c>
      <c r="T7" s="73">
        <v>0</v>
      </c>
      <c r="U7" s="132">
        <v>0</v>
      </c>
      <c r="V7" s="133"/>
      <c r="W7" s="68">
        <f t="shared" si="3"/>
        <v>0</v>
      </c>
    </row>
    <row r="8" spans="1:23" ht="12.75">
      <c r="A8" s="10">
        <v>43651</v>
      </c>
      <c r="B8" s="65">
        <v>17024.4</v>
      </c>
      <c r="C8" s="70">
        <v>22.9</v>
      </c>
      <c r="D8" s="106">
        <v>22.9</v>
      </c>
      <c r="E8" s="106">
        <f t="shared" si="2"/>
        <v>0</v>
      </c>
      <c r="F8" s="78">
        <v>71</v>
      </c>
      <c r="G8" s="78">
        <v>195.3</v>
      </c>
      <c r="H8" s="65">
        <v>877.1</v>
      </c>
      <c r="I8" s="78">
        <v>87.6</v>
      </c>
      <c r="J8" s="78">
        <v>19.5</v>
      </c>
      <c r="K8" s="78">
        <v>0</v>
      </c>
      <c r="L8" s="78">
        <v>0</v>
      </c>
      <c r="M8" s="65">
        <f t="shared" si="0"/>
        <v>22.299999999997027</v>
      </c>
      <c r="N8" s="65">
        <v>18320.1</v>
      </c>
      <c r="O8" s="65">
        <v>17500</v>
      </c>
      <c r="P8" s="3">
        <f t="shared" si="1"/>
        <v>1.046862857142857</v>
      </c>
      <c r="Q8" s="2">
        <v>7643.4</v>
      </c>
      <c r="R8" s="71">
        <v>0</v>
      </c>
      <c r="S8" s="72">
        <v>0</v>
      </c>
      <c r="T8" s="70">
        <v>0</v>
      </c>
      <c r="U8" s="111">
        <v>0</v>
      </c>
      <c r="V8" s="112"/>
      <c r="W8" s="68">
        <f t="shared" si="3"/>
        <v>0</v>
      </c>
    </row>
    <row r="9" spans="1:23" ht="12.75">
      <c r="A9" s="10">
        <v>43654</v>
      </c>
      <c r="B9" s="65">
        <v>6967.5</v>
      </c>
      <c r="C9" s="70">
        <v>260.7</v>
      </c>
      <c r="D9" s="106">
        <v>260.7</v>
      </c>
      <c r="E9" s="106">
        <f t="shared" si="2"/>
        <v>0</v>
      </c>
      <c r="F9" s="78">
        <v>185.9</v>
      </c>
      <c r="G9" s="82">
        <v>310.9</v>
      </c>
      <c r="H9" s="65">
        <v>1446.2</v>
      </c>
      <c r="I9" s="78">
        <v>149</v>
      </c>
      <c r="J9" s="78">
        <v>12.1</v>
      </c>
      <c r="K9" s="78">
        <v>0</v>
      </c>
      <c r="L9" s="78">
        <v>0</v>
      </c>
      <c r="M9" s="65">
        <f t="shared" si="0"/>
        <v>14.199999999999955</v>
      </c>
      <c r="N9" s="65">
        <v>9346.5</v>
      </c>
      <c r="O9" s="65">
        <v>9000</v>
      </c>
      <c r="P9" s="3">
        <f t="shared" si="1"/>
        <v>1.0385</v>
      </c>
      <c r="Q9" s="2">
        <v>7643.4</v>
      </c>
      <c r="R9" s="71">
        <v>145.3</v>
      </c>
      <c r="S9" s="72">
        <v>0</v>
      </c>
      <c r="T9" s="70">
        <v>0</v>
      </c>
      <c r="U9" s="111">
        <v>0</v>
      </c>
      <c r="V9" s="112"/>
      <c r="W9" s="68">
        <f t="shared" si="3"/>
        <v>145.3</v>
      </c>
    </row>
    <row r="10" spans="1:23" ht="12.75">
      <c r="A10" s="10">
        <v>43655</v>
      </c>
      <c r="B10" s="65">
        <v>2103.3</v>
      </c>
      <c r="C10" s="70">
        <v>22.4</v>
      </c>
      <c r="D10" s="106">
        <v>22.4</v>
      </c>
      <c r="E10" s="106">
        <f t="shared" si="2"/>
        <v>0</v>
      </c>
      <c r="F10" s="78">
        <v>163.9</v>
      </c>
      <c r="G10" s="78">
        <v>298.3</v>
      </c>
      <c r="H10" s="65">
        <v>1314.5</v>
      </c>
      <c r="I10" s="78">
        <v>89.3</v>
      </c>
      <c r="J10" s="78">
        <v>153.9</v>
      </c>
      <c r="K10" s="78">
        <v>0</v>
      </c>
      <c r="L10" s="78">
        <v>0</v>
      </c>
      <c r="M10" s="65">
        <f t="shared" si="0"/>
        <v>17.50000000000003</v>
      </c>
      <c r="N10" s="65">
        <v>4163.1</v>
      </c>
      <c r="O10" s="72">
        <v>3200</v>
      </c>
      <c r="P10" s="3">
        <f t="shared" si="1"/>
        <v>1.30096875</v>
      </c>
      <c r="Q10" s="2">
        <v>7643.4</v>
      </c>
      <c r="R10" s="71">
        <v>211.7</v>
      </c>
      <c r="S10" s="72">
        <v>0</v>
      </c>
      <c r="T10" s="70">
        <v>0.04</v>
      </c>
      <c r="U10" s="111">
        <v>0</v>
      </c>
      <c r="V10" s="112"/>
      <c r="W10" s="68">
        <f>R10+S10+U10+T10+V10</f>
        <v>211.73999999999998</v>
      </c>
    </row>
    <row r="11" spans="1:23" ht="12.75">
      <c r="A11" s="10">
        <v>43656</v>
      </c>
      <c r="B11" s="65">
        <v>1861.37</v>
      </c>
      <c r="C11" s="70">
        <v>30.1</v>
      </c>
      <c r="D11" s="106">
        <v>30.1</v>
      </c>
      <c r="E11" s="106">
        <f t="shared" si="2"/>
        <v>0</v>
      </c>
      <c r="F11" s="78">
        <v>226.54</v>
      </c>
      <c r="G11" s="78">
        <v>258.41</v>
      </c>
      <c r="H11" s="65">
        <v>1266.34</v>
      </c>
      <c r="I11" s="78">
        <v>150.71</v>
      </c>
      <c r="J11" s="78">
        <v>20.24</v>
      </c>
      <c r="K11" s="78">
        <v>0</v>
      </c>
      <c r="L11" s="78">
        <v>0</v>
      </c>
      <c r="M11" s="65">
        <f t="shared" si="0"/>
        <v>29.19000000000032</v>
      </c>
      <c r="N11" s="65">
        <v>3842.9</v>
      </c>
      <c r="O11" s="65">
        <v>4900</v>
      </c>
      <c r="P11" s="3">
        <f t="shared" si="1"/>
        <v>0.784265306122449</v>
      </c>
      <c r="Q11" s="2">
        <v>7643.4</v>
      </c>
      <c r="R11" s="69">
        <v>393.3</v>
      </c>
      <c r="S11" s="65">
        <v>0</v>
      </c>
      <c r="T11" s="70">
        <v>0</v>
      </c>
      <c r="U11" s="111">
        <v>0</v>
      </c>
      <c r="V11" s="112"/>
      <c r="W11" s="68">
        <f t="shared" si="3"/>
        <v>393.3</v>
      </c>
    </row>
    <row r="12" spans="1:23" ht="12.75">
      <c r="A12" s="10">
        <v>43657</v>
      </c>
      <c r="B12" s="77">
        <v>1251.6</v>
      </c>
      <c r="C12" s="70">
        <v>24.8</v>
      </c>
      <c r="D12" s="106">
        <v>24.8</v>
      </c>
      <c r="E12" s="106">
        <f t="shared" si="2"/>
        <v>0</v>
      </c>
      <c r="F12" s="78">
        <v>45.3</v>
      </c>
      <c r="G12" s="78">
        <v>159.9</v>
      </c>
      <c r="H12" s="65">
        <v>1220.8</v>
      </c>
      <c r="I12" s="78">
        <v>51.9</v>
      </c>
      <c r="J12" s="78">
        <v>4.9</v>
      </c>
      <c r="K12" s="78">
        <v>0</v>
      </c>
      <c r="L12" s="78">
        <v>0</v>
      </c>
      <c r="M12" s="65">
        <f t="shared" si="0"/>
        <v>82.20000000000022</v>
      </c>
      <c r="N12" s="65">
        <v>2841.4</v>
      </c>
      <c r="O12" s="65">
        <v>5800</v>
      </c>
      <c r="P12" s="3">
        <f t="shared" si="1"/>
        <v>0.48989655172413793</v>
      </c>
      <c r="Q12" s="2">
        <v>7643.4</v>
      </c>
      <c r="R12" s="69">
        <v>179.1</v>
      </c>
      <c r="S12" s="65">
        <v>0</v>
      </c>
      <c r="T12" s="70">
        <v>0</v>
      </c>
      <c r="U12" s="111">
        <v>0</v>
      </c>
      <c r="V12" s="112"/>
      <c r="W12" s="68">
        <f t="shared" si="3"/>
        <v>179.1</v>
      </c>
    </row>
    <row r="13" spans="1:23" ht="12.75">
      <c r="A13" s="10">
        <v>43658</v>
      </c>
      <c r="B13" s="65">
        <v>2972.9</v>
      </c>
      <c r="C13" s="70">
        <v>29.9</v>
      </c>
      <c r="D13" s="106">
        <v>29.9</v>
      </c>
      <c r="E13" s="106">
        <f t="shared" si="2"/>
        <v>0</v>
      </c>
      <c r="F13" s="78">
        <v>1127.6</v>
      </c>
      <c r="G13" s="78">
        <v>334</v>
      </c>
      <c r="H13" s="65">
        <v>1710.1</v>
      </c>
      <c r="I13" s="78">
        <v>111.3</v>
      </c>
      <c r="J13" s="78">
        <v>8.5</v>
      </c>
      <c r="K13" s="78">
        <v>0</v>
      </c>
      <c r="L13" s="78">
        <v>0</v>
      </c>
      <c r="M13" s="65">
        <f t="shared" si="0"/>
        <v>30.000000000000185</v>
      </c>
      <c r="N13" s="65">
        <v>6324.3</v>
      </c>
      <c r="O13" s="65">
        <v>6600</v>
      </c>
      <c r="P13" s="3">
        <f t="shared" si="1"/>
        <v>0.9582272727272727</v>
      </c>
      <c r="Q13" s="2">
        <v>7643.4</v>
      </c>
      <c r="R13" s="69">
        <v>33.1</v>
      </c>
      <c r="S13" s="65">
        <v>37.5</v>
      </c>
      <c r="T13" s="70">
        <v>0</v>
      </c>
      <c r="U13" s="111">
        <v>0</v>
      </c>
      <c r="V13" s="112"/>
      <c r="W13" s="68">
        <f t="shared" si="3"/>
        <v>70.6</v>
      </c>
    </row>
    <row r="14" spans="1:23" ht="12.75">
      <c r="A14" s="10">
        <v>43661</v>
      </c>
      <c r="B14" s="65">
        <v>8946.4</v>
      </c>
      <c r="C14" s="70">
        <v>31.9</v>
      </c>
      <c r="D14" s="106">
        <v>31.9</v>
      </c>
      <c r="E14" s="106">
        <f t="shared" si="2"/>
        <v>0</v>
      </c>
      <c r="F14" s="78">
        <v>181.3</v>
      </c>
      <c r="G14" s="78">
        <v>363.7</v>
      </c>
      <c r="H14" s="65">
        <v>2932.9</v>
      </c>
      <c r="I14" s="78">
        <v>87.2</v>
      </c>
      <c r="J14" s="78">
        <v>21.9</v>
      </c>
      <c r="K14" s="78">
        <v>0</v>
      </c>
      <c r="L14" s="78">
        <v>0</v>
      </c>
      <c r="M14" s="65">
        <f t="shared" si="0"/>
        <v>23.499999999999453</v>
      </c>
      <c r="N14" s="65">
        <v>12588.8</v>
      </c>
      <c r="O14" s="65">
        <v>15600</v>
      </c>
      <c r="P14" s="3">
        <f t="shared" si="1"/>
        <v>0.8069743589743589</v>
      </c>
      <c r="Q14" s="2">
        <v>7643.4</v>
      </c>
      <c r="R14" s="69">
        <v>0</v>
      </c>
      <c r="S14" s="65">
        <v>0</v>
      </c>
      <c r="T14" s="74">
        <v>0</v>
      </c>
      <c r="U14" s="111">
        <v>0</v>
      </c>
      <c r="V14" s="112"/>
      <c r="W14" s="68">
        <f t="shared" si="3"/>
        <v>0</v>
      </c>
    </row>
    <row r="15" spans="1:23" ht="12.75">
      <c r="A15" s="10">
        <v>43662</v>
      </c>
      <c r="B15" s="65">
        <v>2232.8</v>
      </c>
      <c r="C15" s="66">
        <v>28.3</v>
      </c>
      <c r="D15" s="106">
        <v>28.3</v>
      </c>
      <c r="E15" s="106">
        <f t="shared" si="2"/>
        <v>0</v>
      </c>
      <c r="F15" s="81">
        <v>351.6</v>
      </c>
      <c r="G15" s="81">
        <v>465.9</v>
      </c>
      <c r="H15" s="82">
        <v>2267.9</v>
      </c>
      <c r="I15" s="81">
        <v>79.6</v>
      </c>
      <c r="J15" s="81">
        <v>20.7</v>
      </c>
      <c r="K15" s="81">
        <v>0</v>
      </c>
      <c r="L15" s="81">
        <v>0</v>
      </c>
      <c r="M15" s="65">
        <f t="shared" si="0"/>
        <v>93.5399999999997</v>
      </c>
      <c r="N15" s="65">
        <v>5540.34</v>
      </c>
      <c r="O15" s="72">
        <v>6800</v>
      </c>
      <c r="P15" s="3">
        <f>N15/O15</f>
        <v>0.8147558823529412</v>
      </c>
      <c r="Q15" s="2">
        <v>7643.4</v>
      </c>
      <c r="R15" s="69">
        <v>0</v>
      </c>
      <c r="S15" s="65">
        <v>0</v>
      </c>
      <c r="T15" s="74">
        <v>0</v>
      </c>
      <c r="U15" s="111">
        <v>0</v>
      </c>
      <c r="V15" s="112"/>
      <c r="W15" s="68">
        <f t="shared" si="3"/>
        <v>0</v>
      </c>
    </row>
    <row r="16" spans="1:23" ht="12.75">
      <c r="A16" s="10">
        <v>43663</v>
      </c>
      <c r="B16" s="65">
        <v>1547.6</v>
      </c>
      <c r="C16" s="70">
        <v>77.4</v>
      </c>
      <c r="D16" s="106">
        <v>77.4</v>
      </c>
      <c r="E16" s="106">
        <f t="shared" si="2"/>
        <v>0</v>
      </c>
      <c r="F16" s="78">
        <v>532.9</v>
      </c>
      <c r="G16" s="78">
        <v>511.9</v>
      </c>
      <c r="H16" s="65">
        <v>1449.5</v>
      </c>
      <c r="I16" s="78">
        <v>115.9</v>
      </c>
      <c r="J16" s="78">
        <v>13.8</v>
      </c>
      <c r="K16" s="78">
        <v>0</v>
      </c>
      <c r="L16" s="78">
        <v>0</v>
      </c>
      <c r="M16" s="65">
        <f t="shared" si="0"/>
        <v>612.9399999999995</v>
      </c>
      <c r="N16" s="65">
        <v>4861.94</v>
      </c>
      <c r="O16" s="72">
        <v>7500</v>
      </c>
      <c r="P16" s="3">
        <f t="shared" si="1"/>
        <v>0.6482586666666666</v>
      </c>
      <c r="Q16" s="2">
        <v>7643.4</v>
      </c>
      <c r="R16" s="69">
        <v>0</v>
      </c>
      <c r="S16" s="65">
        <v>0</v>
      </c>
      <c r="T16" s="74">
        <v>12.2</v>
      </c>
      <c r="U16" s="111">
        <v>0</v>
      </c>
      <c r="V16" s="112"/>
      <c r="W16" s="68">
        <f t="shared" si="3"/>
        <v>12.2</v>
      </c>
    </row>
    <row r="17" spans="1:23" ht="12.75">
      <c r="A17" s="10">
        <v>43664</v>
      </c>
      <c r="B17" s="65">
        <v>2553.4</v>
      </c>
      <c r="C17" s="70">
        <v>81.3</v>
      </c>
      <c r="D17" s="106">
        <v>81.3</v>
      </c>
      <c r="E17" s="106">
        <f t="shared" si="2"/>
        <v>0</v>
      </c>
      <c r="F17" s="78">
        <v>478.7</v>
      </c>
      <c r="G17" s="78">
        <v>483.9</v>
      </c>
      <c r="H17" s="65">
        <v>2688.4</v>
      </c>
      <c r="I17" s="78">
        <v>86</v>
      </c>
      <c r="J17" s="78">
        <v>5.9</v>
      </c>
      <c r="K17" s="78">
        <v>0</v>
      </c>
      <c r="L17" s="78">
        <v>0</v>
      </c>
      <c r="M17" s="65">
        <f t="shared" si="0"/>
        <v>20.19999999999991</v>
      </c>
      <c r="N17" s="65">
        <v>6397.8</v>
      </c>
      <c r="O17" s="65">
        <v>7200</v>
      </c>
      <c r="P17" s="3">
        <f t="shared" si="1"/>
        <v>0.8885833333333334</v>
      </c>
      <c r="Q17" s="2">
        <v>7643.4</v>
      </c>
      <c r="R17" s="69">
        <v>0</v>
      </c>
      <c r="S17" s="65">
        <v>0</v>
      </c>
      <c r="T17" s="74">
        <v>0</v>
      </c>
      <c r="U17" s="111">
        <v>0</v>
      </c>
      <c r="V17" s="112"/>
      <c r="W17" s="68">
        <f t="shared" si="3"/>
        <v>0</v>
      </c>
    </row>
    <row r="18" spans="1:23" ht="12.75">
      <c r="A18" s="10">
        <v>43665</v>
      </c>
      <c r="B18" s="65">
        <v>7604.5</v>
      </c>
      <c r="C18" s="70">
        <v>60</v>
      </c>
      <c r="D18" s="106">
        <v>60</v>
      </c>
      <c r="E18" s="106">
        <f t="shared" si="2"/>
        <v>0</v>
      </c>
      <c r="F18" s="78">
        <v>220.9</v>
      </c>
      <c r="G18" s="78">
        <v>513.7</v>
      </c>
      <c r="H18" s="65">
        <v>2442.95</v>
      </c>
      <c r="I18" s="78">
        <v>99.1</v>
      </c>
      <c r="J18" s="78">
        <v>30.6</v>
      </c>
      <c r="K18" s="78">
        <v>0</v>
      </c>
      <c r="L18" s="78">
        <v>0</v>
      </c>
      <c r="M18" s="65">
        <f>N18-B18-C18-F18-G18-H18-I18-J18-K18-L18</f>
        <v>37.95000000000055</v>
      </c>
      <c r="N18" s="65">
        <v>11009.7</v>
      </c>
      <c r="O18" s="65">
        <v>9500</v>
      </c>
      <c r="P18" s="3">
        <f>N18/O18</f>
        <v>1.1589157894736843</v>
      </c>
      <c r="Q18" s="2">
        <v>7643.4</v>
      </c>
      <c r="R18" s="69">
        <v>0</v>
      </c>
      <c r="S18" s="65">
        <v>0</v>
      </c>
      <c r="T18" s="70">
        <v>0</v>
      </c>
      <c r="U18" s="111">
        <v>0</v>
      </c>
      <c r="V18" s="112"/>
      <c r="W18" s="68">
        <f t="shared" si="3"/>
        <v>0</v>
      </c>
    </row>
    <row r="19" spans="1:23" ht="12.75">
      <c r="A19" s="10">
        <v>43668</v>
      </c>
      <c r="B19" s="65">
        <v>8678.4</v>
      </c>
      <c r="C19" s="70">
        <v>97.4</v>
      </c>
      <c r="D19" s="106">
        <v>97.4</v>
      </c>
      <c r="E19" s="106">
        <f t="shared" si="2"/>
        <v>0</v>
      </c>
      <c r="F19" s="78">
        <v>223.5</v>
      </c>
      <c r="G19" s="78">
        <v>982.1</v>
      </c>
      <c r="H19" s="65">
        <v>1139.9</v>
      </c>
      <c r="I19" s="78">
        <v>99.2</v>
      </c>
      <c r="J19" s="78">
        <v>28</v>
      </c>
      <c r="K19" s="78">
        <v>0</v>
      </c>
      <c r="L19" s="78">
        <v>0</v>
      </c>
      <c r="M19" s="65">
        <f>N19-B19-C19-F19-G19-H19-I19-J19-K19-L19</f>
        <v>19.799999999999542</v>
      </c>
      <c r="N19" s="65">
        <v>11268.3</v>
      </c>
      <c r="O19" s="65">
        <v>12000</v>
      </c>
      <c r="P19" s="3">
        <f t="shared" si="1"/>
        <v>0.9390249999999999</v>
      </c>
      <c r="Q19" s="2">
        <v>7643.4</v>
      </c>
      <c r="R19" s="69">
        <v>0</v>
      </c>
      <c r="S19" s="65">
        <v>0</v>
      </c>
      <c r="T19" s="70">
        <v>0</v>
      </c>
      <c r="U19" s="111">
        <v>0</v>
      </c>
      <c r="V19" s="112"/>
      <c r="W19" s="68">
        <f t="shared" si="3"/>
        <v>0</v>
      </c>
    </row>
    <row r="20" spans="1:23" ht="12.75">
      <c r="A20" s="10">
        <v>43669</v>
      </c>
      <c r="B20" s="65">
        <v>2549.9</v>
      </c>
      <c r="C20" s="70">
        <v>83.8</v>
      </c>
      <c r="D20" s="106">
        <v>83.8</v>
      </c>
      <c r="E20" s="106">
        <f t="shared" si="2"/>
        <v>0</v>
      </c>
      <c r="F20" s="78">
        <v>589.3</v>
      </c>
      <c r="G20" s="65">
        <v>5705.2</v>
      </c>
      <c r="H20" s="65">
        <v>1392.2</v>
      </c>
      <c r="I20" s="78">
        <v>63.4</v>
      </c>
      <c r="J20" s="78">
        <v>2.7</v>
      </c>
      <c r="K20" s="78">
        <v>0</v>
      </c>
      <c r="L20" s="78">
        <v>0</v>
      </c>
      <c r="M20" s="65">
        <f t="shared" si="0"/>
        <v>13.600000000000502</v>
      </c>
      <c r="N20" s="65">
        <v>10400.1</v>
      </c>
      <c r="O20" s="65">
        <v>5500</v>
      </c>
      <c r="P20" s="3">
        <f t="shared" si="1"/>
        <v>1.8909272727272728</v>
      </c>
      <c r="Q20" s="2">
        <v>7643.4</v>
      </c>
      <c r="R20" s="69">
        <v>0</v>
      </c>
      <c r="S20" s="65">
        <v>0</v>
      </c>
      <c r="T20" s="70">
        <v>0</v>
      </c>
      <c r="U20" s="111">
        <v>0</v>
      </c>
      <c r="V20" s="112"/>
      <c r="W20" s="68">
        <f t="shared" si="3"/>
        <v>0</v>
      </c>
    </row>
    <row r="21" spans="1:23" ht="12.75">
      <c r="A21" s="10">
        <v>43670</v>
      </c>
      <c r="B21" s="65">
        <v>809.6</v>
      </c>
      <c r="C21" s="70">
        <v>302.7</v>
      </c>
      <c r="D21" s="106">
        <v>302.7</v>
      </c>
      <c r="E21" s="106">
        <f t="shared" si="2"/>
        <v>0</v>
      </c>
      <c r="F21" s="78">
        <v>382.9</v>
      </c>
      <c r="G21" s="65">
        <v>513.5</v>
      </c>
      <c r="H21" s="65">
        <v>873.3</v>
      </c>
      <c r="I21" s="78">
        <v>93.3</v>
      </c>
      <c r="J21" s="78">
        <v>5.6</v>
      </c>
      <c r="K21" s="78">
        <v>0</v>
      </c>
      <c r="L21" s="78">
        <v>0</v>
      </c>
      <c r="M21" s="65">
        <f t="shared" si="0"/>
        <v>67.40000000000042</v>
      </c>
      <c r="N21" s="65">
        <v>3048.3</v>
      </c>
      <c r="O21" s="65">
        <v>3200</v>
      </c>
      <c r="P21" s="3">
        <f t="shared" si="1"/>
        <v>0.95259375</v>
      </c>
      <c r="Q21" s="2">
        <v>7643.4</v>
      </c>
      <c r="R21" s="102">
        <v>0</v>
      </c>
      <c r="S21" s="103">
        <v>157.1</v>
      </c>
      <c r="T21" s="104">
        <v>0.4</v>
      </c>
      <c r="U21" s="111">
        <v>0</v>
      </c>
      <c r="V21" s="112"/>
      <c r="W21" s="68">
        <f t="shared" si="3"/>
        <v>157.5</v>
      </c>
    </row>
    <row r="22" spans="1:23" ht="12.75">
      <c r="A22" s="10">
        <v>43671</v>
      </c>
      <c r="B22" s="65">
        <v>2031.2</v>
      </c>
      <c r="C22" s="70">
        <v>386.2</v>
      </c>
      <c r="D22" s="106">
        <v>386.2</v>
      </c>
      <c r="E22" s="106">
        <f t="shared" si="2"/>
        <v>0</v>
      </c>
      <c r="F22" s="78">
        <v>859.9</v>
      </c>
      <c r="G22" s="65">
        <v>635.7</v>
      </c>
      <c r="H22" s="65">
        <v>919.6</v>
      </c>
      <c r="I22" s="78">
        <v>85.4</v>
      </c>
      <c r="J22" s="78">
        <v>13.6</v>
      </c>
      <c r="K22" s="78">
        <v>0</v>
      </c>
      <c r="L22" s="78">
        <v>0</v>
      </c>
      <c r="M22" s="65">
        <f t="shared" si="0"/>
        <v>45.9000000000002</v>
      </c>
      <c r="N22" s="65">
        <v>4977.5</v>
      </c>
      <c r="O22" s="65">
        <v>3600</v>
      </c>
      <c r="P22" s="3">
        <f t="shared" si="1"/>
        <v>1.382638888888889</v>
      </c>
      <c r="Q22" s="2">
        <v>7643.4</v>
      </c>
      <c r="R22" s="102">
        <v>0</v>
      </c>
      <c r="S22" s="103">
        <v>0</v>
      </c>
      <c r="T22" s="104">
        <v>0</v>
      </c>
      <c r="U22" s="111">
        <v>0</v>
      </c>
      <c r="V22" s="112"/>
      <c r="W22" s="68">
        <f t="shared" si="3"/>
        <v>0</v>
      </c>
    </row>
    <row r="23" spans="1:23" ht="12.75">
      <c r="A23" s="10">
        <v>43672</v>
      </c>
      <c r="B23" s="65">
        <v>3010.5</v>
      </c>
      <c r="C23" s="70">
        <v>1430.3</v>
      </c>
      <c r="D23" s="106">
        <v>1430.3</v>
      </c>
      <c r="E23" s="106">
        <f t="shared" si="2"/>
        <v>0</v>
      </c>
      <c r="F23" s="78">
        <v>913.7</v>
      </c>
      <c r="G23" s="65">
        <v>1416.8</v>
      </c>
      <c r="H23" s="65">
        <v>1465.2</v>
      </c>
      <c r="I23" s="78">
        <v>97.1</v>
      </c>
      <c r="J23" s="78">
        <v>6</v>
      </c>
      <c r="K23" s="78">
        <v>0</v>
      </c>
      <c r="L23" s="78">
        <v>0</v>
      </c>
      <c r="M23" s="65">
        <f t="shared" si="0"/>
        <v>33.10000000000073</v>
      </c>
      <c r="N23" s="65">
        <v>8372.7</v>
      </c>
      <c r="O23" s="65">
        <v>3200</v>
      </c>
      <c r="P23" s="3">
        <f>N23/O23</f>
        <v>2.61646875</v>
      </c>
      <c r="Q23" s="2">
        <v>7643.4</v>
      </c>
      <c r="R23" s="102">
        <v>0</v>
      </c>
      <c r="S23" s="103">
        <v>0</v>
      </c>
      <c r="T23" s="104">
        <v>0</v>
      </c>
      <c r="U23" s="111">
        <v>0</v>
      </c>
      <c r="V23" s="112"/>
      <c r="W23" s="68">
        <f t="shared" si="3"/>
        <v>0</v>
      </c>
    </row>
    <row r="24" spans="1:23" ht="12.75">
      <c r="A24" s="10">
        <v>43675</v>
      </c>
      <c r="B24" s="65">
        <v>3380.2</v>
      </c>
      <c r="C24" s="70">
        <v>1370.5</v>
      </c>
      <c r="D24" s="106">
        <v>1370.5</v>
      </c>
      <c r="E24" s="106">
        <f t="shared" si="2"/>
        <v>0</v>
      </c>
      <c r="F24" s="78">
        <v>1299.5</v>
      </c>
      <c r="G24" s="65">
        <v>2605.8</v>
      </c>
      <c r="H24" s="65">
        <v>955.6</v>
      </c>
      <c r="I24" s="78">
        <v>107.1</v>
      </c>
      <c r="J24" s="78">
        <v>24.6</v>
      </c>
      <c r="K24" s="78">
        <v>0</v>
      </c>
      <c r="L24" s="78">
        <v>0</v>
      </c>
      <c r="M24" s="65">
        <f t="shared" si="0"/>
        <v>38.09999999999962</v>
      </c>
      <c r="N24" s="65">
        <v>9781.4</v>
      </c>
      <c r="O24" s="65">
        <v>9000</v>
      </c>
      <c r="P24" s="3">
        <f>N24/O24</f>
        <v>1.0868222222222221</v>
      </c>
      <c r="Q24" s="2">
        <v>7643.4</v>
      </c>
      <c r="R24" s="102">
        <v>0</v>
      </c>
      <c r="S24" s="103">
        <v>0</v>
      </c>
      <c r="T24" s="104">
        <v>0</v>
      </c>
      <c r="U24" s="111">
        <v>0</v>
      </c>
      <c r="V24" s="112"/>
      <c r="W24" s="68">
        <f t="shared" si="3"/>
        <v>0</v>
      </c>
    </row>
    <row r="25" spans="1:23" ht="12.75">
      <c r="A25" s="10">
        <v>43676</v>
      </c>
      <c r="B25" s="65">
        <v>10838.5</v>
      </c>
      <c r="C25" s="70">
        <v>343.8</v>
      </c>
      <c r="D25" s="106">
        <v>343.8</v>
      </c>
      <c r="E25" s="106">
        <f t="shared" si="2"/>
        <v>0</v>
      </c>
      <c r="F25" s="78">
        <v>255.3</v>
      </c>
      <c r="G25" s="65">
        <v>3107</v>
      </c>
      <c r="H25" s="65">
        <v>1447</v>
      </c>
      <c r="I25" s="78">
        <v>102.4</v>
      </c>
      <c r="J25" s="78">
        <v>33.2</v>
      </c>
      <c r="K25" s="78">
        <v>0</v>
      </c>
      <c r="L25" s="78">
        <v>0</v>
      </c>
      <c r="M25" s="65">
        <f t="shared" si="0"/>
        <v>14.3499999999989</v>
      </c>
      <c r="N25" s="65">
        <v>16141.55</v>
      </c>
      <c r="O25" s="65">
        <v>15400</v>
      </c>
      <c r="P25" s="3">
        <f>N25/O25</f>
        <v>1.0481525974025974</v>
      </c>
      <c r="Q25" s="2">
        <v>7643.4</v>
      </c>
      <c r="R25" s="102">
        <v>0</v>
      </c>
      <c r="S25" s="103">
        <v>0</v>
      </c>
      <c r="T25" s="104">
        <v>5</v>
      </c>
      <c r="U25" s="111">
        <v>0</v>
      </c>
      <c r="V25" s="112"/>
      <c r="W25" s="68">
        <f t="shared" si="3"/>
        <v>5</v>
      </c>
    </row>
    <row r="26" spans="1:23" ht="13.5" thickBot="1">
      <c r="A26" s="10">
        <v>43677</v>
      </c>
      <c r="B26" s="65">
        <v>6973.1</v>
      </c>
      <c r="C26" s="74">
        <v>10.2</v>
      </c>
      <c r="D26" s="106">
        <v>10.2</v>
      </c>
      <c r="E26" s="106">
        <f t="shared" si="2"/>
        <v>0</v>
      </c>
      <c r="F26" s="78">
        <v>187.8</v>
      </c>
      <c r="G26" s="65">
        <v>248.7</v>
      </c>
      <c r="H26" s="65">
        <v>1796.3</v>
      </c>
      <c r="I26" s="78">
        <v>138.9</v>
      </c>
      <c r="J26" s="78">
        <v>72.3</v>
      </c>
      <c r="K26" s="78">
        <v>0</v>
      </c>
      <c r="L26" s="78">
        <v>0</v>
      </c>
      <c r="M26" s="65">
        <f t="shared" si="0"/>
        <v>17.34999999999927</v>
      </c>
      <c r="N26" s="65">
        <v>9444.65</v>
      </c>
      <c r="O26" s="65">
        <v>3600</v>
      </c>
      <c r="P26" s="3">
        <f t="shared" si="1"/>
        <v>2.6235138888888887</v>
      </c>
      <c r="Q26" s="2">
        <v>7643.4</v>
      </c>
      <c r="R26" s="98">
        <v>0</v>
      </c>
      <c r="S26" s="99">
        <v>0</v>
      </c>
      <c r="T26" s="100">
        <v>0</v>
      </c>
      <c r="U26" s="126">
        <v>0</v>
      </c>
      <c r="V26" s="127"/>
      <c r="W26" s="109">
        <f t="shared" si="3"/>
        <v>0</v>
      </c>
    </row>
    <row r="27" spans="1:23" ht="13.5" thickBot="1">
      <c r="A27" s="83" t="s">
        <v>28</v>
      </c>
      <c r="B27" s="85">
        <f aca="true" t="shared" si="4" ref="B27:O27">SUM(B4:B26)</f>
        <v>102544.17000000001</v>
      </c>
      <c r="C27" s="85">
        <f t="shared" si="4"/>
        <v>4776</v>
      </c>
      <c r="D27" s="107">
        <f t="shared" si="4"/>
        <v>4776</v>
      </c>
      <c r="E27" s="107">
        <f t="shared" si="4"/>
        <v>0</v>
      </c>
      <c r="F27" s="85">
        <f t="shared" si="4"/>
        <v>8772.939999999999</v>
      </c>
      <c r="G27" s="85">
        <f t="shared" si="4"/>
        <v>19908.81</v>
      </c>
      <c r="H27" s="85">
        <f t="shared" si="4"/>
        <v>34245.29</v>
      </c>
      <c r="I27" s="85">
        <f t="shared" si="4"/>
        <v>2136.21</v>
      </c>
      <c r="J27" s="85">
        <f t="shared" si="4"/>
        <v>576.84</v>
      </c>
      <c r="K27" s="85">
        <f t="shared" si="4"/>
        <v>753.6</v>
      </c>
      <c r="L27" s="85">
        <f t="shared" si="4"/>
        <v>655</v>
      </c>
      <c r="M27" s="84">
        <f t="shared" si="4"/>
        <v>1428.5499999999968</v>
      </c>
      <c r="N27" s="84">
        <f t="shared" si="4"/>
        <v>175797.41</v>
      </c>
      <c r="O27" s="84">
        <f t="shared" si="4"/>
        <v>164000</v>
      </c>
      <c r="P27" s="86">
        <f>N27/O27</f>
        <v>1.0719354268292682</v>
      </c>
      <c r="Q27" s="2"/>
      <c r="R27" s="75">
        <f>SUM(R4:R26)</f>
        <v>962.5</v>
      </c>
      <c r="S27" s="75">
        <f>SUM(S4:S26)</f>
        <v>194.6</v>
      </c>
      <c r="T27" s="75">
        <f>SUM(T4:T26)</f>
        <v>37.94</v>
      </c>
      <c r="U27" s="128">
        <f>SUM(U4:U26)</f>
        <v>0</v>
      </c>
      <c r="V27" s="129"/>
      <c r="W27" s="110">
        <f>R27+S27+U27+T27+V27</f>
        <v>1195.04</v>
      </c>
    </row>
    <row r="28" spans="1:17" ht="12.7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17" ht="17.25" customHeight="1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16" t="s">
        <v>33</v>
      </c>
      <c r="S30" s="116"/>
      <c r="T30" s="116"/>
      <c r="U30" s="116"/>
      <c r="V30" s="50"/>
      <c r="W30" s="50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0" t="s">
        <v>29</v>
      </c>
      <c r="S31" s="130"/>
      <c r="T31" s="130"/>
      <c r="U31" s="130"/>
      <c r="V31" s="50"/>
      <c r="W31" s="50"/>
    </row>
    <row r="32" spans="1:23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18">
        <v>43678</v>
      </c>
      <c r="S32" s="131">
        <f>'[2]залишки'!$G$6/1000</f>
        <v>38434.655979999996</v>
      </c>
      <c r="T32" s="131"/>
      <c r="U32" s="131"/>
      <c r="V32" s="57"/>
      <c r="W32" s="57"/>
    </row>
    <row r="33" spans="1:23" ht="15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R33" s="119"/>
      <c r="S33" s="131"/>
      <c r="T33" s="131"/>
      <c r="U33" s="131"/>
      <c r="V33" s="57"/>
      <c r="W33" s="57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33" t="s">
        <v>34</v>
      </c>
      <c r="T34" s="34" t="s">
        <v>39</v>
      </c>
      <c r="U34" s="48">
        <f>'[1]серпень'!$I$83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13" t="s">
        <v>45</v>
      </c>
      <c r="T35" s="114"/>
      <c r="U35" s="35">
        <f>'[1]серпень'!$I$82</f>
        <v>0</v>
      </c>
      <c r="V35" s="56"/>
      <c r="W35" s="55"/>
    </row>
    <row r="36" spans="1:23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S36" s="115" t="s">
        <v>40</v>
      </c>
      <c r="T36" s="115"/>
      <c r="U36" s="48">
        <f>'[1]серпень'!$I$81</f>
        <v>0</v>
      </c>
      <c r="V36" s="54"/>
      <c r="W36" s="55"/>
    </row>
    <row r="37" spans="1:23" ht="12.75" hidden="1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U37" s="56"/>
      <c r="V37" s="56"/>
      <c r="W37" s="55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17" ht="12.7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</row>
    <row r="40" spans="1:23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16" t="s">
        <v>30</v>
      </c>
      <c r="S40" s="116"/>
      <c r="T40" s="116"/>
      <c r="U40" s="116"/>
      <c r="V40" s="52"/>
      <c r="W40" s="52"/>
    </row>
    <row r="41" spans="1:23" ht="1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17" t="s">
        <v>31</v>
      </c>
      <c r="S41" s="117"/>
      <c r="T41" s="117"/>
      <c r="U41" s="117"/>
      <c r="V41" s="53"/>
      <c r="W41" s="53"/>
    </row>
    <row r="42" spans="1:23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18">
        <v>43678</v>
      </c>
      <c r="S42" s="120">
        <f>'[2]залишки'!$K$6/1000</f>
        <v>46.964890000000594</v>
      </c>
      <c r="T42" s="121"/>
      <c r="U42" s="122"/>
      <c r="V42" s="51"/>
      <c r="W42" s="51"/>
    </row>
    <row r="43" spans="1:23" ht="12.75" customHeight="1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  <c r="R43" s="119"/>
      <c r="S43" s="123"/>
      <c r="T43" s="124"/>
      <c r="U43" s="125"/>
      <c r="V43" s="51"/>
      <c r="W43" s="5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B48" s="9"/>
      <c r="C48" s="9"/>
      <c r="D48" s="9"/>
      <c r="E48" s="9"/>
      <c r="F48" s="1"/>
      <c r="G48" s="1"/>
      <c r="H48" s="1"/>
      <c r="I48" s="1"/>
      <c r="J48" s="1"/>
      <c r="K48" s="1"/>
      <c r="L48" s="1"/>
      <c r="M48" s="9"/>
      <c r="N48" s="9"/>
      <c r="O48" s="9"/>
      <c r="P48" s="1"/>
      <c r="Q48" s="1"/>
    </row>
    <row r="49" spans="1:17" ht="12.75">
      <c r="A49" s="1"/>
      <c r="Q49" s="1"/>
    </row>
  </sheetData>
  <sheetProtection/>
  <mergeCells count="39">
    <mergeCell ref="R42:R43"/>
    <mergeCell ref="S42:U43"/>
    <mergeCell ref="U25:V25"/>
    <mergeCell ref="R32:R33"/>
    <mergeCell ref="S32:U33"/>
    <mergeCell ref="S35:T35"/>
    <mergeCell ref="S36:T36"/>
    <mergeCell ref="R40:U40"/>
    <mergeCell ref="R41:U41"/>
    <mergeCell ref="U23:V23"/>
    <mergeCell ref="U24:V24"/>
    <mergeCell ref="U26:V26"/>
    <mergeCell ref="U27:V27"/>
    <mergeCell ref="R30:U30"/>
    <mergeCell ref="R31:U31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W47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" sqref="B4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30" customHeight="1">
      <c r="A1" s="134" t="s">
        <v>105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6"/>
      <c r="Q1" s="1"/>
      <c r="R1" s="137" t="s">
        <v>108</v>
      </c>
      <c r="S1" s="138"/>
      <c r="T1" s="138"/>
      <c r="U1" s="138"/>
      <c r="V1" s="138"/>
      <c r="W1" s="139"/>
    </row>
    <row r="2" spans="1:23" ht="15" thickBot="1">
      <c r="A2" s="140" t="s">
        <v>106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2"/>
      <c r="Q2" s="1"/>
      <c r="R2" s="143" t="s">
        <v>109</v>
      </c>
      <c r="S2" s="144"/>
      <c r="T2" s="144"/>
      <c r="U2" s="144"/>
      <c r="V2" s="144"/>
      <c r="W2" s="145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82</v>
      </c>
      <c r="K3" s="22" t="s">
        <v>4</v>
      </c>
      <c r="L3" s="22" t="s">
        <v>57</v>
      </c>
      <c r="M3" s="29" t="s">
        <v>5</v>
      </c>
      <c r="N3" s="29" t="s">
        <v>107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46" t="s">
        <v>47</v>
      </c>
      <c r="V3" s="147"/>
      <c r="W3" s="93" t="s">
        <v>27</v>
      </c>
    </row>
    <row r="4" spans="1:23" ht="12.75">
      <c r="A4" s="108">
        <v>43678</v>
      </c>
      <c r="B4" s="65">
        <v>1260.3</v>
      </c>
      <c r="C4" s="79">
        <v>12.4</v>
      </c>
      <c r="D4" s="106">
        <v>12.4</v>
      </c>
      <c r="E4" s="106">
        <f>C4-D4</f>
        <v>0</v>
      </c>
      <c r="F4" s="65">
        <v>118.6</v>
      </c>
      <c r="G4" s="65">
        <v>154.7</v>
      </c>
      <c r="H4" s="67">
        <v>1544.5</v>
      </c>
      <c r="I4" s="78">
        <v>11.1</v>
      </c>
      <c r="J4" s="78">
        <v>16.5</v>
      </c>
      <c r="K4" s="78">
        <v>0</v>
      </c>
      <c r="L4" s="65">
        <v>427.8</v>
      </c>
      <c r="M4" s="65">
        <f aca="true" t="shared" si="0" ref="M4:M24">N4-B4-C4-F4-G4-H4-I4-J4-K4-L4</f>
        <v>18.89999999999992</v>
      </c>
      <c r="N4" s="65">
        <v>3564.8</v>
      </c>
      <c r="O4" s="65">
        <v>3500</v>
      </c>
      <c r="P4" s="3">
        <f aca="true" t="shared" si="1" ref="P4:P24">N4/O4</f>
        <v>1.0185142857142857</v>
      </c>
      <c r="Q4" s="2">
        <f>AVERAGE(N4:N24)</f>
        <v>4025.15</v>
      </c>
      <c r="R4" s="94">
        <v>0</v>
      </c>
      <c r="S4" s="95">
        <v>0</v>
      </c>
      <c r="T4" s="96">
        <v>20</v>
      </c>
      <c r="U4" s="148">
        <v>0</v>
      </c>
      <c r="V4" s="149"/>
      <c r="W4" s="97">
        <f>R4+S4+U4+T4+V4</f>
        <v>20</v>
      </c>
    </row>
    <row r="5" spans="1:23" ht="12.75">
      <c r="A5" s="10">
        <v>43679</v>
      </c>
      <c r="B5" s="65">
        <v>2337.8</v>
      </c>
      <c r="C5" s="79">
        <v>14.1</v>
      </c>
      <c r="D5" s="106">
        <v>14.1</v>
      </c>
      <c r="E5" s="106">
        <f aca="true" t="shared" si="2" ref="E5:E24">C5-D5</f>
        <v>0</v>
      </c>
      <c r="F5" s="65">
        <v>81.9</v>
      </c>
      <c r="G5" s="65">
        <v>151.8</v>
      </c>
      <c r="H5" s="79">
        <v>1724.1</v>
      </c>
      <c r="I5" s="78">
        <v>158</v>
      </c>
      <c r="J5" s="78">
        <v>8.2</v>
      </c>
      <c r="K5" s="78">
        <v>0</v>
      </c>
      <c r="L5" s="65">
        <v>0</v>
      </c>
      <c r="M5" s="65">
        <f t="shared" si="0"/>
        <v>9.599999999999955</v>
      </c>
      <c r="N5" s="65">
        <v>4485.5</v>
      </c>
      <c r="O5" s="65">
        <v>4500</v>
      </c>
      <c r="P5" s="3">
        <f t="shared" si="1"/>
        <v>0.9967777777777778</v>
      </c>
      <c r="Q5" s="2">
        <v>4025.2</v>
      </c>
      <c r="R5" s="69">
        <v>11.9</v>
      </c>
      <c r="S5" s="65">
        <v>0</v>
      </c>
      <c r="T5" s="70">
        <v>0</v>
      </c>
      <c r="U5" s="111">
        <v>0</v>
      </c>
      <c r="V5" s="112"/>
      <c r="W5" s="68">
        <f aca="true" t="shared" si="3" ref="W5:W24">R5+S5+U5+T5+V5</f>
        <v>11.9</v>
      </c>
    </row>
    <row r="6" spans="1:23" ht="12.75">
      <c r="A6" s="10">
        <v>43682</v>
      </c>
      <c r="B6" s="65"/>
      <c r="C6" s="79"/>
      <c r="D6" s="106"/>
      <c r="E6" s="106">
        <f t="shared" si="2"/>
        <v>0</v>
      </c>
      <c r="F6" s="72"/>
      <c r="G6" s="65"/>
      <c r="H6" s="80"/>
      <c r="I6" s="78"/>
      <c r="J6" s="78"/>
      <c r="K6" s="78"/>
      <c r="L6" s="78"/>
      <c r="M6" s="65">
        <f t="shared" si="0"/>
        <v>0</v>
      </c>
      <c r="N6" s="65"/>
      <c r="O6" s="65">
        <v>3900</v>
      </c>
      <c r="P6" s="3">
        <f t="shared" si="1"/>
        <v>0</v>
      </c>
      <c r="Q6" s="2">
        <v>4025.2</v>
      </c>
      <c r="R6" s="71"/>
      <c r="S6" s="72"/>
      <c r="T6" s="73"/>
      <c r="U6" s="132"/>
      <c r="V6" s="133"/>
      <c r="W6" s="68">
        <f t="shared" si="3"/>
        <v>0</v>
      </c>
    </row>
    <row r="7" spans="1:23" ht="12.75">
      <c r="A7" s="10">
        <v>43683</v>
      </c>
      <c r="B7" s="77"/>
      <c r="C7" s="79"/>
      <c r="D7" s="106"/>
      <c r="E7" s="106">
        <f t="shared" si="2"/>
        <v>0</v>
      </c>
      <c r="F7" s="65"/>
      <c r="G7" s="65"/>
      <c r="H7" s="79"/>
      <c r="I7" s="78"/>
      <c r="J7" s="78"/>
      <c r="K7" s="78"/>
      <c r="L7" s="78"/>
      <c r="M7" s="65">
        <f t="shared" si="0"/>
        <v>0</v>
      </c>
      <c r="N7" s="65"/>
      <c r="O7" s="65">
        <v>4800</v>
      </c>
      <c r="P7" s="3">
        <f t="shared" si="1"/>
        <v>0</v>
      </c>
      <c r="Q7" s="2">
        <v>4025.2</v>
      </c>
      <c r="R7" s="71"/>
      <c r="S7" s="72"/>
      <c r="T7" s="73"/>
      <c r="U7" s="132"/>
      <c r="V7" s="133"/>
      <c r="W7" s="68">
        <f t="shared" si="3"/>
        <v>0</v>
      </c>
    </row>
    <row r="8" spans="1:23" ht="12.75">
      <c r="A8" s="10">
        <v>43684</v>
      </c>
      <c r="B8" s="65"/>
      <c r="C8" s="70"/>
      <c r="D8" s="106"/>
      <c r="E8" s="106">
        <f t="shared" si="2"/>
        <v>0</v>
      </c>
      <c r="F8" s="78"/>
      <c r="G8" s="78"/>
      <c r="H8" s="65"/>
      <c r="I8" s="78"/>
      <c r="J8" s="78"/>
      <c r="K8" s="78"/>
      <c r="L8" s="78"/>
      <c r="M8" s="65">
        <f t="shared" si="0"/>
        <v>0</v>
      </c>
      <c r="N8" s="65"/>
      <c r="O8" s="65">
        <v>17500</v>
      </c>
      <c r="P8" s="3">
        <f t="shared" si="1"/>
        <v>0</v>
      </c>
      <c r="Q8" s="2">
        <v>4025.2</v>
      </c>
      <c r="R8" s="71"/>
      <c r="S8" s="72"/>
      <c r="T8" s="70"/>
      <c r="U8" s="111"/>
      <c r="V8" s="112"/>
      <c r="W8" s="68">
        <f t="shared" si="3"/>
        <v>0</v>
      </c>
    </row>
    <row r="9" spans="1:23" ht="12.75">
      <c r="A9" s="10">
        <v>43685</v>
      </c>
      <c r="B9" s="65"/>
      <c r="C9" s="70"/>
      <c r="D9" s="106"/>
      <c r="E9" s="106">
        <f t="shared" si="2"/>
        <v>0</v>
      </c>
      <c r="F9" s="78"/>
      <c r="G9" s="82"/>
      <c r="H9" s="65"/>
      <c r="I9" s="78"/>
      <c r="J9" s="78"/>
      <c r="K9" s="78"/>
      <c r="L9" s="78"/>
      <c r="M9" s="65">
        <f t="shared" si="0"/>
        <v>0</v>
      </c>
      <c r="N9" s="65"/>
      <c r="O9" s="65">
        <v>10000</v>
      </c>
      <c r="P9" s="3">
        <f t="shared" si="1"/>
        <v>0</v>
      </c>
      <c r="Q9" s="2">
        <v>4025.2</v>
      </c>
      <c r="R9" s="71"/>
      <c r="S9" s="72"/>
      <c r="T9" s="70"/>
      <c r="U9" s="111"/>
      <c r="V9" s="112"/>
      <c r="W9" s="68">
        <f t="shared" si="3"/>
        <v>0</v>
      </c>
    </row>
    <row r="10" spans="1:23" ht="12.75">
      <c r="A10" s="10">
        <v>43686</v>
      </c>
      <c r="B10" s="65"/>
      <c r="C10" s="70"/>
      <c r="D10" s="106"/>
      <c r="E10" s="106">
        <f t="shared" si="2"/>
        <v>0</v>
      </c>
      <c r="F10" s="78"/>
      <c r="G10" s="78"/>
      <c r="H10" s="65"/>
      <c r="I10" s="78"/>
      <c r="J10" s="78"/>
      <c r="K10" s="78"/>
      <c r="L10" s="78"/>
      <c r="M10" s="65">
        <f t="shared" si="0"/>
        <v>0</v>
      </c>
      <c r="N10" s="65"/>
      <c r="O10" s="72">
        <v>4200</v>
      </c>
      <c r="P10" s="3">
        <f t="shared" si="1"/>
        <v>0</v>
      </c>
      <c r="Q10" s="2">
        <v>4025.2</v>
      </c>
      <c r="R10" s="71"/>
      <c r="S10" s="72"/>
      <c r="T10" s="70"/>
      <c r="U10" s="111"/>
      <c r="V10" s="112"/>
      <c r="W10" s="68">
        <f>R10+S10+U10+T10+V10</f>
        <v>0</v>
      </c>
    </row>
    <row r="11" spans="1:23" ht="12.75">
      <c r="A11" s="10">
        <v>43689</v>
      </c>
      <c r="B11" s="65"/>
      <c r="C11" s="70"/>
      <c r="D11" s="106"/>
      <c r="E11" s="106">
        <f t="shared" si="2"/>
        <v>0</v>
      </c>
      <c r="F11" s="78"/>
      <c r="G11" s="78"/>
      <c r="H11" s="65"/>
      <c r="I11" s="78"/>
      <c r="J11" s="78"/>
      <c r="K11" s="78"/>
      <c r="L11" s="78"/>
      <c r="M11" s="65">
        <f t="shared" si="0"/>
        <v>0</v>
      </c>
      <c r="N11" s="65"/>
      <c r="O11" s="65">
        <v>4900</v>
      </c>
      <c r="P11" s="3">
        <f t="shared" si="1"/>
        <v>0</v>
      </c>
      <c r="Q11" s="2">
        <v>4025.2</v>
      </c>
      <c r="R11" s="69"/>
      <c r="S11" s="65"/>
      <c r="T11" s="70"/>
      <c r="U11" s="111"/>
      <c r="V11" s="112"/>
      <c r="W11" s="68">
        <f t="shared" si="3"/>
        <v>0</v>
      </c>
    </row>
    <row r="12" spans="1:23" ht="12.75">
      <c r="A12" s="10">
        <v>43690</v>
      </c>
      <c r="B12" s="77"/>
      <c r="C12" s="70"/>
      <c r="D12" s="106"/>
      <c r="E12" s="106">
        <f t="shared" si="2"/>
        <v>0</v>
      </c>
      <c r="F12" s="78"/>
      <c r="G12" s="78"/>
      <c r="H12" s="65"/>
      <c r="I12" s="78"/>
      <c r="J12" s="78"/>
      <c r="K12" s="78"/>
      <c r="L12" s="78"/>
      <c r="M12" s="65">
        <f t="shared" si="0"/>
        <v>0</v>
      </c>
      <c r="N12" s="65"/>
      <c r="O12" s="65">
        <v>5800</v>
      </c>
      <c r="P12" s="3">
        <f t="shared" si="1"/>
        <v>0</v>
      </c>
      <c r="Q12" s="2">
        <v>4025.2</v>
      </c>
      <c r="R12" s="69"/>
      <c r="S12" s="65"/>
      <c r="T12" s="70"/>
      <c r="U12" s="111"/>
      <c r="V12" s="112"/>
      <c r="W12" s="68">
        <f t="shared" si="3"/>
        <v>0</v>
      </c>
    </row>
    <row r="13" spans="1:23" ht="12.75">
      <c r="A13" s="10">
        <v>43691</v>
      </c>
      <c r="B13" s="65"/>
      <c r="C13" s="70"/>
      <c r="D13" s="106"/>
      <c r="E13" s="106">
        <f t="shared" si="2"/>
        <v>0</v>
      </c>
      <c r="F13" s="78"/>
      <c r="G13" s="78"/>
      <c r="H13" s="65"/>
      <c r="I13" s="78"/>
      <c r="J13" s="78"/>
      <c r="K13" s="78"/>
      <c r="L13" s="78"/>
      <c r="M13" s="65">
        <f t="shared" si="0"/>
        <v>0</v>
      </c>
      <c r="N13" s="65"/>
      <c r="O13" s="65">
        <v>6600</v>
      </c>
      <c r="P13" s="3">
        <f t="shared" si="1"/>
        <v>0</v>
      </c>
      <c r="Q13" s="2">
        <v>4025.2</v>
      </c>
      <c r="R13" s="69"/>
      <c r="S13" s="65"/>
      <c r="T13" s="70"/>
      <c r="U13" s="111"/>
      <c r="V13" s="112"/>
      <c r="W13" s="68">
        <f t="shared" si="3"/>
        <v>0</v>
      </c>
    </row>
    <row r="14" spans="1:23" ht="12.75">
      <c r="A14" s="10">
        <v>43692</v>
      </c>
      <c r="B14" s="65"/>
      <c r="C14" s="70"/>
      <c r="D14" s="106"/>
      <c r="E14" s="106">
        <f t="shared" si="2"/>
        <v>0</v>
      </c>
      <c r="F14" s="78"/>
      <c r="G14" s="78"/>
      <c r="H14" s="65"/>
      <c r="I14" s="78"/>
      <c r="J14" s="78"/>
      <c r="K14" s="78"/>
      <c r="L14" s="78"/>
      <c r="M14" s="65">
        <f t="shared" si="0"/>
        <v>0</v>
      </c>
      <c r="N14" s="65"/>
      <c r="O14" s="65">
        <v>18600</v>
      </c>
      <c r="P14" s="3">
        <f t="shared" si="1"/>
        <v>0</v>
      </c>
      <c r="Q14" s="2">
        <v>4025.2</v>
      </c>
      <c r="R14" s="69"/>
      <c r="S14" s="65"/>
      <c r="T14" s="74"/>
      <c r="U14" s="111"/>
      <c r="V14" s="112"/>
      <c r="W14" s="68">
        <f t="shared" si="3"/>
        <v>0</v>
      </c>
    </row>
    <row r="15" spans="1:23" ht="12.75">
      <c r="A15" s="10">
        <v>43693</v>
      </c>
      <c r="B15" s="65"/>
      <c r="C15" s="66"/>
      <c r="D15" s="106"/>
      <c r="E15" s="106">
        <f t="shared" si="2"/>
        <v>0</v>
      </c>
      <c r="F15" s="81"/>
      <c r="G15" s="81"/>
      <c r="H15" s="82"/>
      <c r="I15" s="81"/>
      <c r="J15" s="81"/>
      <c r="K15" s="81"/>
      <c r="L15" s="81"/>
      <c r="M15" s="65">
        <f t="shared" si="0"/>
        <v>0</v>
      </c>
      <c r="N15" s="65"/>
      <c r="O15" s="72">
        <v>6800</v>
      </c>
      <c r="P15" s="3">
        <f>N15/O15</f>
        <v>0</v>
      </c>
      <c r="Q15" s="2">
        <v>4025.2</v>
      </c>
      <c r="R15" s="69"/>
      <c r="S15" s="65"/>
      <c r="T15" s="74"/>
      <c r="U15" s="111"/>
      <c r="V15" s="112"/>
      <c r="W15" s="68">
        <f t="shared" si="3"/>
        <v>0</v>
      </c>
    </row>
    <row r="16" spans="1:23" ht="12.75">
      <c r="A16" s="10">
        <v>43696</v>
      </c>
      <c r="B16" s="65"/>
      <c r="C16" s="70"/>
      <c r="D16" s="106"/>
      <c r="E16" s="106">
        <f t="shared" si="2"/>
        <v>0</v>
      </c>
      <c r="F16" s="78"/>
      <c r="G16" s="78"/>
      <c r="H16" s="65"/>
      <c r="I16" s="78"/>
      <c r="J16" s="78"/>
      <c r="K16" s="78"/>
      <c r="L16" s="78"/>
      <c r="M16" s="65">
        <f t="shared" si="0"/>
        <v>0</v>
      </c>
      <c r="N16" s="65"/>
      <c r="O16" s="72">
        <v>7500</v>
      </c>
      <c r="P16" s="3">
        <f t="shared" si="1"/>
        <v>0</v>
      </c>
      <c r="Q16" s="2">
        <v>4025.2</v>
      </c>
      <c r="R16" s="69"/>
      <c r="S16" s="65"/>
      <c r="T16" s="74"/>
      <c r="U16" s="111"/>
      <c r="V16" s="112"/>
      <c r="W16" s="68">
        <f t="shared" si="3"/>
        <v>0</v>
      </c>
    </row>
    <row r="17" spans="1:23" ht="12.75">
      <c r="A17" s="10">
        <v>43697</v>
      </c>
      <c r="B17" s="65"/>
      <c r="C17" s="70"/>
      <c r="D17" s="106"/>
      <c r="E17" s="106">
        <f t="shared" si="2"/>
        <v>0</v>
      </c>
      <c r="F17" s="78"/>
      <c r="G17" s="78"/>
      <c r="H17" s="65"/>
      <c r="I17" s="78"/>
      <c r="J17" s="78"/>
      <c r="K17" s="78"/>
      <c r="L17" s="78"/>
      <c r="M17" s="65">
        <f t="shared" si="0"/>
        <v>0</v>
      </c>
      <c r="N17" s="65"/>
      <c r="O17" s="65">
        <v>7200</v>
      </c>
      <c r="P17" s="3">
        <f t="shared" si="1"/>
        <v>0</v>
      </c>
      <c r="Q17" s="2">
        <v>4025.2</v>
      </c>
      <c r="R17" s="69"/>
      <c r="S17" s="65"/>
      <c r="T17" s="74"/>
      <c r="U17" s="111"/>
      <c r="V17" s="112"/>
      <c r="W17" s="68">
        <f t="shared" si="3"/>
        <v>0</v>
      </c>
    </row>
    <row r="18" spans="1:23" ht="12.75">
      <c r="A18" s="10">
        <v>43698</v>
      </c>
      <c r="B18" s="65"/>
      <c r="C18" s="70"/>
      <c r="D18" s="106"/>
      <c r="E18" s="106">
        <f t="shared" si="2"/>
        <v>0</v>
      </c>
      <c r="F18" s="78"/>
      <c r="G18" s="78"/>
      <c r="H18" s="65"/>
      <c r="I18" s="78"/>
      <c r="J18" s="78"/>
      <c r="K18" s="78"/>
      <c r="L18" s="78"/>
      <c r="M18" s="65">
        <f>N18-B18-C18-F18-G18-H18-I18-J18-K18-L18</f>
        <v>0</v>
      </c>
      <c r="N18" s="65"/>
      <c r="O18" s="65">
        <v>10500</v>
      </c>
      <c r="P18" s="3">
        <f>N18/O18</f>
        <v>0</v>
      </c>
      <c r="Q18" s="2">
        <v>4025.2</v>
      </c>
      <c r="R18" s="69"/>
      <c r="S18" s="65"/>
      <c r="T18" s="70"/>
      <c r="U18" s="111"/>
      <c r="V18" s="112"/>
      <c r="W18" s="68">
        <f t="shared" si="3"/>
        <v>0</v>
      </c>
    </row>
    <row r="19" spans="1:23" ht="12.75">
      <c r="A19" s="10">
        <v>43699</v>
      </c>
      <c r="B19" s="65"/>
      <c r="C19" s="70"/>
      <c r="D19" s="106"/>
      <c r="E19" s="106">
        <f t="shared" si="2"/>
        <v>0</v>
      </c>
      <c r="F19" s="78"/>
      <c r="G19" s="78"/>
      <c r="H19" s="65"/>
      <c r="I19" s="78"/>
      <c r="J19" s="78"/>
      <c r="K19" s="78"/>
      <c r="L19" s="78"/>
      <c r="M19" s="65">
        <f>N19-B19-C19-F19-G19-H19-I19-J19-K19-L19</f>
        <v>0</v>
      </c>
      <c r="N19" s="65"/>
      <c r="O19" s="65">
        <v>15000</v>
      </c>
      <c r="P19" s="3">
        <f t="shared" si="1"/>
        <v>0</v>
      </c>
      <c r="Q19" s="2">
        <v>4025.2</v>
      </c>
      <c r="R19" s="69"/>
      <c r="S19" s="65"/>
      <c r="T19" s="70"/>
      <c r="U19" s="111"/>
      <c r="V19" s="112"/>
      <c r="W19" s="68">
        <f t="shared" si="3"/>
        <v>0</v>
      </c>
    </row>
    <row r="20" spans="1:23" ht="12.75">
      <c r="A20" s="10">
        <v>43700</v>
      </c>
      <c r="B20" s="65"/>
      <c r="C20" s="70"/>
      <c r="D20" s="106"/>
      <c r="E20" s="106">
        <f t="shared" si="2"/>
        <v>0</v>
      </c>
      <c r="F20" s="78"/>
      <c r="G20" s="65"/>
      <c r="H20" s="65"/>
      <c r="I20" s="78"/>
      <c r="J20" s="78"/>
      <c r="K20" s="78"/>
      <c r="L20" s="78"/>
      <c r="M20" s="65">
        <f t="shared" si="0"/>
        <v>0</v>
      </c>
      <c r="N20" s="65"/>
      <c r="O20" s="65">
        <v>5500</v>
      </c>
      <c r="P20" s="3">
        <f t="shared" si="1"/>
        <v>0</v>
      </c>
      <c r="Q20" s="2">
        <v>4025.2</v>
      </c>
      <c r="R20" s="69"/>
      <c r="S20" s="65"/>
      <c r="T20" s="70"/>
      <c r="U20" s="111"/>
      <c r="V20" s="112"/>
      <c r="W20" s="68">
        <f t="shared" si="3"/>
        <v>0</v>
      </c>
    </row>
    <row r="21" spans="1:23" ht="12.75">
      <c r="A21" s="10">
        <v>43704</v>
      </c>
      <c r="B21" s="65"/>
      <c r="C21" s="70"/>
      <c r="D21" s="106"/>
      <c r="E21" s="106">
        <f t="shared" si="2"/>
        <v>0</v>
      </c>
      <c r="F21" s="78"/>
      <c r="G21" s="65"/>
      <c r="H21" s="65"/>
      <c r="I21" s="78"/>
      <c r="J21" s="78"/>
      <c r="K21" s="78"/>
      <c r="L21" s="78"/>
      <c r="M21" s="65">
        <f t="shared" si="0"/>
        <v>0</v>
      </c>
      <c r="N21" s="65"/>
      <c r="O21" s="65">
        <v>3200</v>
      </c>
      <c r="P21" s="3">
        <f t="shared" si="1"/>
        <v>0</v>
      </c>
      <c r="Q21" s="2">
        <v>4025.2</v>
      </c>
      <c r="R21" s="102"/>
      <c r="S21" s="103"/>
      <c r="T21" s="104"/>
      <c r="U21" s="111"/>
      <c r="V21" s="112"/>
      <c r="W21" s="68">
        <f t="shared" si="3"/>
        <v>0</v>
      </c>
    </row>
    <row r="22" spans="1:23" ht="12.75">
      <c r="A22" s="10">
        <v>43705</v>
      </c>
      <c r="B22" s="65"/>
      <c r="C22" s="70"/>
      <c r="D22" s="106"/>
      <c r="E22" s="106">
        <f t="shared" si="2"/>
        <v>0</v>
      </c>
      <c r="F22" s="78"/>
      <c r="G22" s="65"/>
      <c r="H22" s="65"/>
      <c r="I22" s="78"/>
      <c r="J22" s="78"/>
      <c r="K22" s="78"/>
      <c r="L22" s="78"/>
      <c r="M22" s="65">
        <f t="shared" si="0"/>
        <v>0</v>
      </c>
      <c r="N22" s="65"/>
      <c r="O22" s="65">
        <v>6300</v>
      </c>
      <c r="P22" s="3">
        <f t="shared" si="1"/>
        <v>0</v>
      </c>
      <c r="Q22" s="2">
        <v>4025.2</v>
      </c>
      <c r="R22" s="102"/>
      <c r="S22" s="103"/>
      <c r="T22" s="104"/>
      <c r="U22" s="111"/>
      <c r="V22" s="112"/>
      <c r="W22" s="68">
        <f t="shared" si="3"/>
        <v>0</v>
      </c>
    </row>
    <row r="23" spans="1:23" ht="12.75">
      <c r="A23" s="10">
        <v>43706</v>
      </c>
      <c r="B23" s="65"/>
      <c r="C23" s="70"/>
      <c r="D23" s="106"/>
      <c r="E23" s="106">
        <f t="shared" si="2"/>
        <v>0</v>
      </c>
      <c r="F23" s="78"/>
      <c r="G23" s="65"/>
      <c r="H23" s="65"/>
      <c r="I23" s="78"/>
      <c r="J23" s="78"/>
      <c r="K23" s="78"/>
      <c r="L23" s="78"/>
      <c r="M23" s="65">
        <f t="shared" si="0"/>
        <v>0</v>
      </c>
      <c r="N23" s="65"/>
      <c r="O23" s="65">
        <v>16000</v>
      </c>
      <c r="P23" s="3">
        <f>N23/O23</f>
        <v>0</v>
      </c>
      <c r="Q23" s="2">
        <v>4025.2</v>
      </c>
      <c r="R23" s="102"/>
      <c r="S23" s="103"/>
      <c r="T23" s="104"/>
      <c r="U23" s="111"/>
      <c r="V23" s="112"/>
      <c r="W23" s="68">
        <f t="shared" si="3"/>
        <v>0</v>
      </c>
    </row>
    <row r="24" spans="1:23" ht="13.5" thickBot="1">
      <c r="A24" s="10">
        <v>43707</v>
      </c>
      <c r="B24" s="65"/>
      <c r="C24" s="74"/>
      <c r="D24" s="106"/>
      <c r="E24" s="106">
        <f t="shared" si="2"/>
        <v>0</v>
      </c>
      <c r="F24" s="78"/>
      <c r="G24" s="65"/>
      <c r="H24" s="65"/>
      <c r="I24" s="78"/>
      <c r="J24" s="78"/>
      <c r="K24" s="78"/>
      <c r="L24" s="78"/>
      <c r="M24" s="65">
        <f t="shared" si="0"/>
        <v>0</v>
      </c>
      <c r="N24" s="65"/>
      <c r="O24" s="65">
        <v>11000</v>
      </c>
      <c r="P24" s="3">
        <f t="shared" si="1"/>
        <v>0</v>
      </c>
      <c r="Q24" s="2">
        <v>4025.2</v>
      </c>
      <c r="R24" s="98"/>
      <c r="S24" s="99"/>
      <c r="T24" s="100"/>
      <c r="U24" s="126"/>
      <c r="V24" s="127"/>
      <c r="W24" s="109">
        <f t="shared" si="3"/>
        <v>0</v>
      </c>
    </row>
    <row r="25" spans="1:23" ht="13.5" thickBot="1">
      <c r="A25" s="83" t="s">
        <v>28</v>
      </c>
      <c r="B25" s="85">
        <f>SUM(B4:B24)</f>
        <v>3598.1000000000004</v>
      </c>
      <c r="C25" s="85">
        <f>SUM(C4:C24)</f>
        <v>26.5</v>
      </c>
      <c r="D25" s="107">
        <f>SUM(D4:D24)</f>
        <v>26.5</v>
      </c>
      <c r="E25" s="107">
        <f>SUM(E4:E24)</f>
        <v>0</v>
      </c>
      <c r="F25" s="85">
        <f>SUM(F4:F24)</f>
        <v>200.5</v>
      </c>
      <c r="G25" s="85">
        <f>SUM(G4:G24)</f>
        <v>306.5</v>
      </c>
      <c r="H25" s="85">
        <f>SUM(H4:H24)</f>
        <v>3268.6</v>
      </c>
      <c r="I25" s="85">
        <f>SUM(I4:I24)</f>
        <v>169.1</v>
      </c>
      <c r="J25" s="85">
        <f>SUM(J4:J24)</f>
        <v>24.7</v>
      </c>
      <c r="K25" s="85">
        <f>SUM(K4:K24)</f>
        <v>0</v>
      </c>
      <c r="L25" s="85">
        <f>SUM(L4:L24)</f>
        <v>427.8</v>
      </c>
      <c r="M25" s="84">
        <f>SUM(M4:M24)</f>
        <v>28.499999999999876</v>
      </c>
      <c r="N25" s="84">
        <f>SUM(N4:N24)</f>
        <v>8050.3</v>
      </c>
      <c r="O25" s="84">
        <f>SUM(O4:O24)</f>
        <v>173300</v>
      </c>
      <c r="P25" s="86">
        <f>N25/O25</f>
        <v>0.0464529717253318</v>
      </c>
      <c r="Q25" s="2"/>
      <c r="R25" s="75">
        <f>SUM(R4:R24)</f>
        <v>11.9</v>
      </c>
      <c r="S25" s="75">
        <f>SUM(S4:S24)</f>
        <v>0</v>
      </c>
      <c r="T25" s="75">
        <f>SUM(T4:T24)</f>
        <v>20</v>
      </c>
      <c r="U25" s="128">
        <f>SUM(U4:U24)</f>
        <v>0</v>
      </c>
      <c r="V25" s="129"/>
      <c r="W25" s="110">
        <f>R25+S25+U25+T25+V25</f>
        <v>31.9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16" t="s">
        <v>33</v>
      </c>
      <c r="S28" s="116"/>
      <c r="T28" s="116"/>
      <c r="U28" s="116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0" t="s">
        <v>29</v>
      </c>
      <c r="S29" s="130"/>
      <c r="T29" s="130"/>
      <c r="U29" s="130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18">
        <v>43682</v>
      </c>
      <c r="S30" s="131">
        <v>38434.655979999996</v>
      </c>
      <c r="T30" s="131"/>
      <c r="U30" s="131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19"/>
      <c r="S31" s="131"/>
      <c r="T31" s="131"/>
      <c r="U31" s="131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13" t="s">
        <v>45</v>
      </c>
      <c r="T33" s="114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15" t="s">
        <v>40</v>
      </c>
      <c r="T34" s="115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16" t="s">
        <v>30</v>
      </c>
      <c r="S38" s="116"/>
      <c r="T38" s="116"/>
      <c r="U38" s="116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17" t="s">
        <v>31</v>
      </c>
      <c r="S39" s="117"/>
      <c r="T39" s="117"/>
      <c r="U39" s="117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18">
        <v>43682</v>
      </c>
      <c r="S40" s="120">
        <v>46.964890000000594</v>
      </c>
      <c r="T40" s="121"/>
      <c r="U40" s="122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19"/>
      <c r="S41" s="123"/>
      <c r="T41" s="124"/>
      <c r="U41" s="125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R39:U39"/>
    <mergeCell ref="R40:R41"/>
    <mergeCell ref="S40:U41"/>
    <mergeCell ref="R29:U29"/>
    <mergeCell ref="R30:R31"/>
    <mergeCell ref="S30:U31"/>
    <mergeCell ref="S33:T33"/>
    <mergeCell ref="S34:T34"/>
    <mergeCell ref="R38:U38"/>
    <mergeCell ref="U23:V23"/>
    <mergeCell ref="U24:V24"/>
    <mergeCell ref="U25:V25"/>
    <mergeCell ref="R28:U28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view="pageBreakPreview" zoomScaleSheetLayoutView="100" zoomScalePageLayoutView="0" workbookViewId="0" topLeftCell="A47">
      <selection activeCell="P42" sqref="P42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57" t="s">
        <v>110</v>
      </c>
      <c r="C26" s="157"/>
      <c r="D26" s="157"/>
      <c r="E26" s="157"/>
      <c r="F26" s="157"/>
      <c r="G26" s="157"/>
      <c r="H26" s="157"/>
      <c r="I26" s="157"/>
      <c r="J26" s="157"/>
      <c r="K26" s="157"/>
      <c r="L26" s="158"/>
      <c r="M26" s="158"/>
      <c r="N26" s="158"/>
    </row>
    <row r="27" spans="1:16" ht="54" customHeight="1">
      <c r="A27" s="150" t="s">
        <v>32</v>
      </c>
      <c r="B27" s="159" t="s">
        <v>43</v>
      </c>
      <c r="C27" s="159"/>
      <c r="D27" s="152" t="s">
        <v>49</v>
      </c>
      <c r="E27" s="153"/>
      <c r="F27" s="154" t="s">
        <v>44</v>
      </c>
      <c r="G27" s="155"/>
      <c r="H27" s="156" t="s">
        <v>51</v>
      </c>
      <c r="I27" s="152"/>
      <c r="J27" s="167"/>
      <c r="K27" s="168"/>
      <c r="L27" s="164" t="s">
        <v>36</v>
      </c>
      <c r="M27" s="165"/>
      <c r="N27" s="166"/>
      <c r="O27" s="160" t="s">
        <v>111</v>
      </c>
      <c r="P27" s="161"/>
    </row>
    <row r="28" spans="1:16" ht="30.75" customHeight="1">
      <c r="A28" s="151"/>
      <c r="B28" s="44" t="s">
        <v>112</v>
      </c>
      <c r="C28" s="22" t="s">
        <v>23</v>
      </c>
      <c r="D28" s="44" t="str">
        <f>B28</f>
        <v>план на січень-серпень 2019р.</v>
      </c>
      <c r="E28" s="22" t="str">
        <f>C28</f>
        <v>факт</v>
      </c>
      <c r="F28" s="43" t="str">
        <f>B28</f>
        <v>план на січень-серпень 2019р.</v>
      </c>
      <c r="G28" s="58" t="str">
        <f>C28</f>
        <v>факт</v>
      </c>
      <c r="H28" s="44" t="str">
        <f>B28</f>
        <v>план на січень-серпень 2019р.</v>
      </c>
      <c r="I28" s="22" t="str">
        <f>C28</f>
        <v>факт</v>
      </c>
      <c r="J28" s="43"/>
      <c r="K28" s="58"/>
      <c r="L28" s="41" t="str">
        <f>D28</f>
        <v>план на січень-серпень 2019р.</v>
      </c>
      <c r="M28" s="22" t="str">
        <f>C28</f>
        <v>факт</v>
      </c>
      <c r="N28" s="42" t="s">
        <v>24</v>
      </c>
      <c r="O28" s="155"/>
      <c r="P28" s="152"/>
    </row>
    <row r="29" spans="1:16" ht="23.25" customHeight="1" thickBot="1">
      <c r="A29" s="40">
        <f>серпень!S40</f>
        <v>46.964890000000594</v>
      </c>
      <c r="B29" s="45">
        <f>'[3] серпень 19'!$F$91</f>
        <v>65070</v>
      </c>
      <c r="C29" s="45">
        <f>'[3] серпень 19'!$G$91</f>
        <v>1493.56</v>
      </c>
      <c r="D29" s="45">
        <f>'[3] серпень 19'!$F$90</f>
        <v>24533</v>
      </c>
      <c r="E29" s="45">
        <f>'[3] серпень 19'!$G$90</f>
        <v>207.71</v>
      </c>
      <c r="F29" s="45">
        <f>'[3] серпень 19'!$F$92</f>
        <v>12500</v>
      </c>
      <c r="G29" s="45">
        <f>'[3] серпень 19'!$G$92</f>
        <v>3469.75</v>
      </c>
      <c r="H29" s="45">
        <f>'[3] серпень 19'!$F$93</f>
        <v>16</v>
      </c>
      <c r="I29" s="45">
        <f>'[3] серпень 19'!$G$93</f>
        <v>12</v>
      </c>
      <c r="J29" s="45"/>
      <c r="K29" s="45"/>
      <c r="L29" s="59">
        <f>H29+F29+D29+J29+B29</f>
        <v>102119</v>
      </c>
      <c r="M29" s="46">
        <f>C29+E29+G29+I29</f>
        <v>5183.02</v>
      </c>
      <c r="N29" s="47">
        <f>M29-L29</f>
        <v>-96935.98</v>
      </c>
      <c r="O29" s="162">
        <f>серпень!S30</f>
        <v>38434.655979999996</v>
      </c>
      <c r="P29" s="163"/>
    </row>
    <row r="30" spans="1:16" ht="12.75">
      <c r="A30" s="36"/>
      <c r="B30" s="36"/>
      <c r="C30" s="36"/>
      <c r="D30" s="37"/>
      <c r="E30" s="38"/>
      <c r="F30" s="37"/>
      <c r="G30" s="38"/>
      <c r="H30" s="37"/>
      <c r="I30" s="38"/>
      <c r="J30" s="38"/>
      <c r="K30" s="38"/>
      <c r="L30" s="37"/>
      <c r="M30" s="38"/>
      <c r="N30" s="39"/>
      <c r="O30" s="159"/>
      <c r="P30" s="159"/>
    </row>
    <row r="31" spans="1:16" ht="12.75" hidden="1">
      <c r="A31" s="36"/>
      <c r="B31" s="36"/>
      <c r="C31" s="36"/>
      <c r="D31" s="37"/>
      <c r="E31" s="38"/>
      <c r="F31" s="37"/>
      <c r="G31" s="38"/>
      <c r="H31" s="37"/>
      <c r="I31" s="38"/>
      <c r="J31" s="38"/>
      <c r="K31" s="38"/>
      <c r="L31" s="37"/>
      <c r="M31" s="38"/>
      <c r="N31" s="39"/>
      <c r="O31" s="22" t="s">
        <v>35</v>
      </c>
      <c r="P31" s="49" t="e">
        <f>#REF!</f>
        <v>#REF!</v>
      </c>
    </row>
    <row r="32" spans="1:16" ht="12.75" hidden="1">
      <c r="A32" s="36"/>
      <c r="B32" s="36"/>
      <c r="C32" s="36"/>
      <c r="D32" s="37"/>
      <c r="E32" s="38"/>
      <c r="F32" s="37"/>
      <c r="G32" s="38"/>
      <c r="H32" s="37"/>
      <c r="I32" s="38"/>
      <c r="J32" s="38"/>
      <c r="K32" s="38"/>
      <c r="L32" s="37"/>
      <c r="M32" s="38"/>
      <c r="N32" s="39"/>
      <c r="O32" s="20" t="s">
        <v>37</v>
      </c>
      <c r="P32" s="29" t="e">
        <f>#REF!</f>
        <v>#REF!</v>
      </c>
    </row>
    <row r="33" spans="1:16" ht="12.75" hidden="1">
      <c r="A33" s="36"/>
      <c r="B33" s="36"/>
      <c r="C33" s="36"/>
      <c r="D33" s="37"/>
      <c r="E33" s="38"/>
      <c r="F33" s="37"/>
      <c r="G33" s="38"/>
      <c r="H33" s="37"/>
      <c r="I33" s="38"/>
      <c r="J33" s="38"/>
      <c r="K33" s="38"/>
      <c r="L33" s="37"/>
      <c r="M33" s="38"/>
      <c r="N33" s="39"/>
      <c r="O33" s="22" t="s">
        <v>46</v>
      </c>
      <c r="P33" s="29" t="e">
        <f>#REF!</f>
        <v>#REF!</v>
      </c>
    </row>
    <row r="34" spans="15:16" ht="12.75" hidden="1">
      <c r="O34" s="20"/>
      <c r="P34" s="49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f>'[3] серпень 19'!$F$9</f>
        <v>774994.1</v>
      </c>
      <c r="C48" s="28">
        <f>'[3] серпень 19'!$G$9</f>
        <v>668801.93</v>
      </c>
      <c r="F48" s="1" t="s">
        <v>22</v>
      </c>
      <c r="G48" s="6"/>
      <c r="H48" s="169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f>'[3] серпень 19'!$F$36</f>
        <v>134490.3</v>
      </c>
      <c r="C49" s="28">
        <f>'[3] серпень 19'!$G$36</f>
        <v>107955.13</v>
      </c>
      <c r="G49" s="6"/>
      <c r="H49" s="169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f>'[3] серпень 19'!$F$48</f>
        <v>221284.59999999998</v>
      </c>
      <c r="C50" s="28">
        <f>'[3] серпень 19'!$G$48</f>
        <v>202975.21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f>'[3]липень 19'!$F$26</f>
        <v>26777.2</v>
      </c>
      <c r="C51" s="28">
        <f>'[3] серпень 19'!$G$26</f>
        <v>25859.73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f>'[3] серпень 19'!$F$20</f>
        <v>74395.6</v>
      </c>
      <c r="C52" s="28">
        <f>'[3] серпень 19'!$G$20</f>
        <v>66429.72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f>'[3] серпень 19'!$F$66</f>
        <v>4815.3</v>
      </c>
      <c r="C53" s="28">
        <f>'[3] серпень 19'!$G$66</f>
        <v>4879.69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87" t="s">
        <v>56</v>
      </c>
      <c r="B54" s="12">
        <f>'[3] серпень 19'!$F$56</f>
        <v>6969.86</v>
      </c>
      <c r="C54" s="28">
        <f>'[3] серпень 19'!$G$56</f>
        <v>7302.15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f>B56-B48-B49-B50-B51-B52-B53-B54</f>
        <v>30459.600000000108</v>
      </c>
      <c r="C55" s="12">
        <f>C56-C48-C49-C50-C51-C52-C53-C54</f>
        <v>21802.390000000145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f>'[3] серпень 19'!$F$81</f>
        <v>1274186.56</v>
      </c>
      <c r="C56" s="9">
        <f>'[3] серпень 19'!$G$81</f>
        <v>1106005.9500000002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76" t="s">
        <v>52</v>
      </c>
      <c r="B58" s="9">
        <f>B29</f>
        <v>65070</v>
      </c>
      <c r="C58" s="9">
        <f>C29</f>
        <v>1493.56</v>
      </c>
    </row>
    <row r="59" spans="1:3" ht="25.5">
      <c r="A59" s="76" t="s">
        <v>53</v>
      </c>
      <c r="B59" s="9">
        <f>D29</f>
        <v>24533</v>
      </c>
      <c r="C59" s="9">
        <f>E29</f>
        <v>207.71</v>
      </c>
    </row>
    <row r="60" spans="1:3" ht="12.75">
      <c r="A60" s="76" t="s">
        <v>54</v>
      </c>
      <c r="B60" s="9">
        <f>F29</f>
        <v>12500</v>
      </c>
      <c r="C60" s="9">
        <f>G29</f>
        <v>3469.75</v>
      </c>
    </row>
    <row r="61" spans="1:3" ht="25.5">
      <c r="A61" s="76" t="s">
        <v>55</v>
      </c>
      <c r="B61" s="9">
        <f>H29</f>
        <v>16</v>
      </c>
      <c r="C61" s="9">
        <f>I29</f>
        <v>12</v>
      </c>
    </row>
  </sheetData>
  <sheetProtection/>
  <mergeCells count="12">
    <mergeCell ref="O27:P28"/>
    <mergeCell ref="O29:P29"/>
    <mergeCell ref="L27:N27"/>
    <mergeCell ref="O30:P30"/>
    <mergeCell ref="J27:K27"/>
    <mergeCell ref="H48:H49"/>
    <mergeCell ref="A27:A28"/>
    <mergeCell ref="D27:E27"/>
    <mergeCell ref="F27:G27"/>
    <mergeCell ref="H27:I27"/>
    <mergeCell ref="B26:N26"/>
    <mergeCell ref="B27:C27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2019-07-24T09:11:41Z</cp:lastPrinted>
  <dcterms:created xsi:type="dcterms:W3CDTF">2006-11-30T08:16:02Z</dcterms:created>
  <dcterms:modified xsi:type="dcterms:W3CDTF">2019-08-05T13:47:50Z</dcterms:modified>
  <cp:category/>
  <cp:version/>
  <cp:contentType/>
  <cp:contentStatus/>
</cp:coreProperties>
</file>